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onta02\Desktop\respaldo alberto\Informe de Avance 2016\4to trim 2016\"/>
    </mc:Choice>
  </mc:AlternateContent>
  <bookViews>
    <workbookView xWindow="0" yWindow="0" windowWidth="20400" windowHeight="8340" tabRatio="823" firstSheet="8" activeTab="9"/>
  </bookViews>
  <sheets>
    <sheet name="Estado de Situacion Financiera" sheetId="1" r:id="rId1"/>
    <sheet name="Estado de Actividades" sheetId="29" r:id="rId2"/>
    <sheet name="Edo Variacion Hacienda Publica" sheetId="7" r:id="rId3"/>
    <sheet name="Edo de Cambios en la Sit Fin" sheetId="2" r:id="rId4"/>
    <sheet name="PT_ESF_ECSF" sheetId="3" state="hidden" r:id="rId5"/>
    <sheet name="Edo Flujo de Efectivo" sheetId="10" r:id="rId6"/>
    <sheet name="Edo Analitico del Activo" sheetId="8" r:id="rId7"/>
    <sheet name="Edo Analit Deuda y O Pasivos" sheetId="9" r:id="rId8"/>
    <sheet name="Informes sobre Pasivos Conting" sheetId="24" r:id="rId9"/>
    <sheet name="Edo Analitico Ingresos Economic" sheetId="28" r:id="rId10"/>
    <sheet name="Edo Analitico Ingresos" sheetId="12" r:id="rId11"/>
    <sheet name="Anexo Analitico de Ingresos" sheetId="27" r:id="rId12"/>
    <sheet name="E A Eje Presup Egresos CA" sheetId="13" r:id="rId13"/>
    <sheet name="COG" sheetId="15" r:id="rId14"/>
    <sheet name="CTG" sheetId="14" r:id="rId15"/>
    <sheet name="CFG" sheetId="16" r:id="rId16"/>
    <sheet name="End Neto" sheetId="17" r:id="rId17"/>
    <sheet name="Intereses de la Deuda" sheetId="18" r:id="rId18"/>
    <sheet name="Ind Postura Fiscal" sheetId="20" r:id="rId19"/>
    <sheet name="Gto Categoria Programatica" sheetId="19" r:id="rId20"/>
    <sheet name="Relacion Ctas Banc" sheetId="23" r:id="rId21"/>
    <sheet name="Anexo a Mpios" sheetId="26" r:id="rId22"/>
  </sheets>
  <definedNames>
    <definedName name="_xlnm.Print_Area" localSheetId="21">'Anexo a Mpios'!$A$2:$D$57</definedName>
    <definedName name="_xlnm.Print_Area" localSheetId="11">'Anexo Analitico de Ingresos'!$A$1:$J$248</definedName>
    <definedName name="_xlnm.Print_Area" localSheetId="13">COG!$A$1:$J$90</definedName>
    <definedName name="_xlnm.Print_Area" localSheetId="7">'Edo Analit Deuda y O Pasivos'!$A$1:$J$86</definedName>
    <definedName name="_xlnm.Print_Area" localSheetId="6">'Edo Analitico del Activo'!$A$1:$I$50</definedName>
    <definedName name="_xlnm.Print_Area" localSheetId="9">'Edo Analitico Ingresos Economic'!$B$1:$K$38</definedName>
    <definedName name="_xlnm.Print_Area" localSheetId="3">'Edo de Cambios en la Sit Fin'!$B$1:$N$69</definedName>
    <definedName name="_xlnm.Print_Area" localSheetId="5">'Edo Flujo de Efectivo'!$A$1:$Q$63</definedName>
    <definedName name="_xlnm.Print_Area" localSheetId="2">'Edo Variacion Hacienda Publica'!$A$1:$I$53</definedName>
    <definedName name="_xlnm.Print_Area" localSheetId="16">'End Neto'!$A$1:$I$31</definedName>
    <definedName name="_xlnm.Print_Area" localSheetId="1">'Estado de Actividades'!$A$1:$K$69</definedName>
    <definedName name="_xlnm.Print_Area" localSheetId="0">'Estado de Situacion Financiera'!$A$1:$L$80</definedName>
    <definedName name="_xlnm.Print_Area" localSheetId="19">'Gto Categoria Programatica'!$A$1:$K$48</definedName>
    <definedName name="_xlnm.Print_Area" localSheetId="18">'Ind Postura Fiscal'!$A$1:$E$41</definedName>
    <definedName name="_xlnm.Print_Area" localSheetId="8">'Informes sobre Pasivos Conting'!$A$1:$J$52</definedName>
    <definedName name="_xlnm.Print_Area" localSheetId="17">'Intereses de la Deuda'!$A$1:$C$32</definedName>
    <definedName name="_xlnm.Print_Area" localSheetId="20">'Relacion Ctas Banc'!$A$1:$E$137</definedName>
    <definedName name="_xlnm.Print_Titles" localSheetId="21">'Anexo a Mpios'!$2:$14</definedName>
    <definedName name="_xlnm.Print_Titles" localSheetId="11">'Anexo Analitico de Ingresos'!$1:$15</definedName>
    <definedName name="_xlnm.Print_Titles" localSheetId="13">COG!$12:$15</definedName>
    <definedName name="_xlnm.Print_Titles" localSheetId="12">'E A Eje Presup Egresos CA'!$13:$16</definedName>
    <definedName name="_xlnm.Print_Titles" localSheetId="20">'Relacion Ctas Banc'!$8:$12</definedName>
  </definedNames>
  <calcPr calcId="152511" concurrentCalc="0"/>
</workbook>
</file>

<file path=xl/calcChain.xml><?xml version="1.0" encoding="utf-8"?>
<calcChain xmlns="http://schemas.openxmlformats.org/spreadsheetml/2006/main">
  <c r="H69" i="27" l="1"/>
  <c r="F36" i="8"/>
  <c r="E36" i="8"/>
  <c r="C53" i="26"/>
  <c r="F43" i="19"/>
  <c r="F45" i="19"/>
  <c r="F44" i="19"/>
  <c r="F42" i="19"/>
  <c r="F40" i="19"/>
  <c r="F39" i="19"/>
  <c r="F38" i="19"/>
  <c r="F37" i="19"/>
  <c r="F35" i="19"/>
  <c r="F34" i="19"/>
  <c r="F32" i="19"/>
  <c r="F31" i="19"/>
  <c r="F28" i="19"/>
  <c r="F27" i="19"/>
  <c r="F26" i="19"/>
  <c r="F25" i="19"/>
  <c r="F24" i="19"/>
  <c r="F23" i="19"/>
  <c r="F22" i="19"/>
  <c r="F21" i="19"/>
  <c r="F19" i="19"/>
  <c r="F18" i="19"/>
  <c r="F17" i="19"/>
  <c r="O34" i="19"/>
  <c r="O35" i="19"/>
  <c r="O37" i="19"/>
  <c r="O38" i="19"/>
  <c r="O39" i="19"/>
  <c r="O40" i="19"/>
  <c r="O45" i="19"/>
  <c r="I24" i="19"/>
  <c r="I30" i="19"/>
  <c r="I18" i="19"/>
  <c r="M18" i="19"/>
  <c r="M19" i="19"/>
  <c r="M21" i="19"/>
  <c r="M22" i="19"/>
  <c r="M23" i="19"/>
  <c r="M24" i="19"/>
  <c r="M25" i="19"/>
  <c r="M26" i="19"/>
  <c r="M27" i="19"/>
  <c r="M28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8" i="19"/>
  <c r="H30" i="19"/>
  <c r="I45" i="19"/>
  <c r="I44" i="19"/>
  <c r="I43" i="19"/>
  <c r="H43" i="19"/>
  <c r="H45" i="19"/>
  <c r="F242" i="27"/>
  <c r="B64" i="18"/>
  <c r="C64" i="18"/>
  <c r="D64" i="18"/>
  <c r="E64" i="18"/>
  <c r="F64" i="18"/>
  <c r="G64" i="18"/>
  <c r="A64" i="18"/>
  <c r="B58" i="18"/>
  <c r="C58" i="18"/>
  <c r="C67" i="18"/>
  <c r="B17" i="18"/>
  <c r="D58" i="18"/>
  <c r="E58" i="18"/>
  <c r="E67" i="18"/>
  <c r="B19" i="18"/>
  <c r="F58" i="18"/>
  <c r="G58" i="18"/>
  <c r="G67" i="18"/>
  <c r="B21" i="18"/>
  <c r="A58" i="18"/>
  <c r="B52" i="18"/>
  <c r="B67" i="18"/>
  <c r="B16" i="18"/>
  <c r="C52" i="18"/>
  <c r="D52" i="18"/>
  <c r="D67" i="18"/>
  <c r="B18" i="18"/>
  <c r="E52" i="18"/>
  <c r="F52" i="18"/>
  <c r="F67" i="18"/>
  <c r="B20" i="18"/>
  <c r="G52" i="18"/>
  <c r="A52" i="18"/>
  <c r="A67" i="18"/>
  <c r="B15" i="18"/>
  <c r="I56" i="9"/>
  <c r="G17" i="17"/>
  <c r="G18" i="17"/>
  <c r="G19" i="17"/>
  <c r="G20" i="17"/>
  <c r="G21" i="17"/>
  <c r="G22" i="17"/>
  <c r="G16" i="17"/>
  <c r="D17" i="17"/>
  <c r="F17" i="17"/>
  <c r="D18" i="17"/>
  <c r="D16" i="17"/>
  <c r="D19" i="17"/>
  <c r="D20" i="17"/>
  <c r="D21" i="17"/>
  <c r="D22" i="17"/>
  <c r="D24" i="17"/>
  <c r="F19" i="17"/>
  <c r="F20" i="17"/>
  <c r="F21" i="17"/>
  <c r="F22" i="17"/>
  <c r="F16" i="17"/>
  <c r="B17" i="17"/>
  <c r="B18" i="17"/>
  <c r="B19" i="17"/>
  <c r="B20" i="17"/>
  <c r="B21" i="17"/>
  <c r="B22" i="17"/>
  <c r="B16" i="17"/>
  <c r="E47" i="16"/>
  <c r="E46" i="16"/>
  <c r="E45" i="16"/>
  <c r="E44" i="16"/>
  <c r="E43" i="16"/>
  <c r="E42" i="16"/>
  <c r="E41" i="16"/>
  <c r="E40" i="16"/>
  <c r="E39" i="16"/>
  <c r="E38" i="16"/>
  <c r="E35" i="16"/>
  <c r="E34" i="16"/>
  <c r="E33" i="16"/>
  <c r="E32" i="16"/>
  <c r="E31" i="16"/>
  <c r="E30" i="16"/>
  <c r="E29" i="16"/>
  <c r="E20" i="16"/>
  <c r="E21" i="16"/>
  <c r="E22" i="16"/>
  <c r="E23" i="16"/>
  <c r="E24" i="16"/>
  <c r="E25" i="16"/>
  <c r="E26" i="16"/>
  <c r="E19" i="16"/>
  <c r="M27" i="16"/>
  <c r="M36" i="16"/>
  <c r="M48" i="16"/>
  <c r="M49" i="16"/>
  <c r="M50" i="16"/>
  <c r="M51" i="16"/>
  <c r="M52" i="16"/>
  <c r="H41" i="16"/>
  <c r="H44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8" i="16"/>
  <c r="L39" i="16"/>
  <c r="L40" i="16"/>
  <c r="L41" i="16"/>
  <c r="L42" i="16"/>
  <c r="L43" i="16"/>
  <c r="L44" i="16"/>
  <c r="L45" i="16"/>
  <c r="L46" i="16"/>
  <c r="L47" i="16"/>
  <c r="L49" i="16"/>
  <c r="L50" i="16"/>
  <c r="L51" i="16"/>
  <c r="L52" i="16"/>
  <c r="L19" i="16"/>
  <c r="G41" i="16"/>
  <c r="H49" i="16"/>
  <c r="G49" i="16"/>
  <c r="E49" i="16"/>
  <c r="H50" i="16"/>
  <c r="G50" i="16"/>
  <c r="E50" i="16"/>
  <c r="H52" i="16"/>
  <c r="G52" i="16"/>
  <c r="E64" i="13"/>
  <c r="E65" i="13"/>
  <c r="H23" i="13"/>
  <c r="H35" i="13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18" i="13"/>
  <c r="E61" i="13"/>
  <c r="E62" i="13"/>
  <c r="G61" i="13"/>
  <c r="H61" i="13"/>
  <c r="E23" i="13"/>
  <c r="E24" i="13"/>
  <c r="E25" i="13"/>
  <c r="E26" i="13"/>
  <c r="G23" i="13"/>
  <c r="D96" i="13"/>
  <c r="I93" i="13"/>
  <c r="H93" i="13"/>
  <c r="G93" i="13"/>
  <c r="F93" i="13"/>
  <c r="E93" i="13"/>
  <c r="D93" i="13"/>
  <c r="E63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2" i="13"/>
  <c r="E21" i="13"/>
  <c r="E20" i="13"/>
  <c r="E19" i="13"/>
  <c r="E18" i="13"/>
  <c r="I149" i="2"/>
  <c r="D128" i="2"/>
  <c r="I60" i="1"/>
  <c r="H24" i="14"/>
  <c r="H26" i="14"/>
  <c r="H20" i="14"/>
  <c r="H18" i="14"/>
  <c r="E20" i="14"/>
  <c r="E18" i="14"/>
  <c r="G18" i="14"/>
  <c r="G20" i="14"/>
  <c r="F18" i="17"/>
  <c r="H28" i="12"/>
  <c r="H32" i="12"/>
  <c r="G104" i="15"/>
  <c r="G106" i="15"/>
  <c r="I28" i="12"/>
  <c r="I32" i="12"/>
  <c r="H104" i="15"/>
  <c r="H106" i="15"/>
  <c r="J28" i="12"/>
  <c r="J32" i="12"/>
  <c r="I104" i="15"/>
  <c r="I106" i="15"/>
  <c r="D106" i="15"/>
  <c r="D104" i="15"/>
  <c r="H47" i="15"/>
  <c r="H43" i="15"/>
  <c r="S16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S35" i="15"/>
  <c r="S36" i="15"/>
  <c r="S37" i="15"/>
  <c r="S38" i="15"/>
  <c r="S39" i="15"/>
  <c r="S40" i="15"/>
  <c r="S41" i="15"/>
  <c r="S42" i="15"/>
  <c r="S43" i="15"/>
  <c r="S45" i="15"/>
  <c r="S46" i="15"/>
  <c r="S47" i="15"/>
  <c r="S48" i="15"/>
  <c r="S49" i="15"/>
  <c r="S50" i="15"/>
  <c r="S51" i="15"/>
  <c r="S52" i="15"/>
  <c r="S53" i="15"/>
  <c r="S54" i="15"/>
  <c r="S55" i="15"/>
  <c r="S56" i="15"/>
  <c r="S57" i="15"/>
  <c r="S58" i="15"/>
  <c r="S59" i="15"/>
  <c r="S60" i="15"/>
  <c r="S61" i="15"/>
  <c r="S62" i="15"/>
  <c r="S63" i="15"/>
  <c r="S64" i="15"/>
  <c r="S65" i="15"/>
  <c r="S66" i="15"/>
  <c r="S67" i="15"/>
  <c r="S68" i="15"/>
  <c r="S69" i="15"/>
  <c r="S70" i="15"/>
  <c r="S71" i="15"/>
  <c r="S72" i="15"/>
  <c r="S73" i="15"/>
  <c r="S74" i="15"/>
  <c r="S75" i="15"/>
  <c r="S76" i="15"/>
  <c r="S77" i="15"/>
  <c r="S78" i="15"/>
  <c r="S79" i="15"/>
  <c r="S80" i="15"/>
  <c r="S81" i="15"/>
  <c r="S82" i="15"/>
  <c r="S83" i="15"/>
  <c r="S84" i="15"/>
  <c r="S85" i="15"/>
  <c r="S86" i="15"/>
  <c r="S87" i="15"/>
  <c r="S17" i="15"/>
  <c r="H74" i="15"/>
  <c r="E74" i="15"/>
  <c r="Q87" i="15"/>
  <c r="Q86" i="15"/>
  <c r="Q85" i="15"/>
  <c r="Q84" i="15"/>
  <c r="Q83" i="15"/>
  <c r="Q82" i="15"/>
  <c r="Q81" i="15"/>
  <c r="Q79" i="15"/>
  <c r="Q78" i="15"/>
  <c r="Q77" i="15"/>
  <c r="Q75" i="15"/>
  <c r="Q73" i="15"/>
  <c r="Q72" i="15"/>
  <c r="Q71" i="15"/>
  <c r="Q70" i="15"/>
  <c r="Q69" i="15"/>
  <c r="Q67" i="15"/>
  <c r="Q66" i="15"/>
  <c r="Q65" i="15"/>
  <c r="Q64" i="15"/>
  <c r="Q63" i="15"/>
  <c r="Q62" i="15"/>
  <c r="Q61" i="15"/>
  <c r="Q60" i="15"/>
  <c r="Q59" i="15"/>
  <c r="Q58" i="15"/>
  <c r="Q57" i="15"/>
  <c r="Q56" i="15"/>
  <c r="Q55" i="15"/>
  <c r="Q53" i="15"/>
  <c r="Q52" i="15"/>
  <c r="Q51" i="15"/>
  <c r="Q50" i="15"/>
  <c r="Q49" i="15"/>
  <c r="Q48" i="15"/>
  <c r="Q47" i="15"/>
  <c r="Q46" i="15"/>
  <c r="Q45" i="15"/>
  <c r="Q43" i="15"/>
  <c r="Q42" i="15"/>
  <c r="Q41" i="15"/>
  <c r="Q40" i="15"/>
  <c r="Q39" i="15"/>
  <c r="Q38" i="15"/>
  <c r="Q37" i="15"/>
  <c r="Q36" i="15"/>
  <c r="Q35" i="15"/>
  <c r="Q33" i="15"/>
  <c r="Q32" i="15"/>
  <c r="Q31" i="15"/>
  <c r="Q30" i="15"/>
  <c r="Q29" i="15"/>
  <c r="Q28" i="15"/>
  <c r="Q27" i="15"/>
  <c r="Q26" i="15"/>
  <c r="Q25" i="15"/>
  <c r="Q18" i="15"/>
  <c r="Q19" i="15"/>
  <c r="Q20" i="15"/>
  <c r="Q21" i="15"/>
  <c r="Q22" i="15"/>
  <c r="Q23" i="15"/>
  <c r="Q17" i="15"/>
  <c r="Q80" i="15"/>
  <c r="Q76" i="15"/>
  <c r="Q54" i="15"/>
  <c r="Q44" i="15"/>
  <c r="Q34" i="15"/>
  <c r="Q24" i="15"/>
  <c r="Q16" i="15"/>
  <c r="P80" i="15"/>
  <c r="P76" i="15"/>
  <c r="P68" i="15"/>
  <c r="P64" i="15"/>
  <c r="P54" i="15"/>
  <c r="P44" i="15"/>
  <c r="P34" i="15"/>
  <c r="P24" i="15"/>
  <c r="P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9" i="15"/>
  <c r="O70" i="15"/>
  <c r="O71" i="15"/>
  <c r="O72" i="15"/>
  <c r="O73" i="15"/>
  <c r="O74" i="15"/>
  <c r="Q74" i="15"/>
  <c r="Q68" i="15"/>
  <c r="O75" i="15"/>
  <c r="O76" i="15"/>
  <c r="O77" i="15"/>
  <c r="O78" i="15"/>
  <c r="O79" i="15"/>
  <c r="O80" i="15"/>
  <c r="O81" i="15"/>
  <c r="O82" i="15"/>
  <c r="O83" i="15"/>
  <c r="O84" i="15"/>
  <c r="O85" i="15"/>
  <c r="O86" i="15"/>
  <c r="O87" i="15"/>
  <c r="O16" i="15"/>
  <c r="E86" i="15"/>
  <c r="E85" i="15"/>
  <c r="E84" i="15"/>
  <c r="E83" i="15"/>
  <c r="E82" i="15"/>
  <c r="E79" i="15"/>
  <c r="E78" i="15"/>
  <c r="E77" i="15"/>
  <c r="E75" i="15"/>
  <c r="E73" i="15"/>
  <c r="E72" i="15"/>
  <c r="E71" i="15"/>
  <c r="E70" i="15"/>
  <c r="E69" i="15"/>
  <c r="E67" i="15"/>
  <c r="E66" i="15"/>
  <c r="E65" i="15"/>
  <c r="E63" i="15"/>
  <c r="E62" i="15"/>
  <c r="E61" i="15"/>
  <c r="E60" i="15"/>
  <c r="E59" i="15"/>
  <c r="E58" i="15"/>
  <c r="E57" i="15"/>
  <c r="E56" i="15"/>
  <c r="E55" i="15"/>
  <c r="E53" i="15"/>
  <c r="E52" i="15"/>
  <c r="E51" i="15"/>
  <c r="E50" i="15"/>
  <c r="E49" i="15"/>
  <c r="E48" i="15"/>
  <c r="E47" i="15"/>
  <c r="E46" i="15"/>
  <c r="E45" i="15"/>
  <c r="E43" i="15"/>
  <c r="E42" i="15"/>
  <c r="E41" i="15"/>
  <c r="E40" i="15"/>
  <c r="E39" i="15"/>
  <c r="E38" i="15"/>
  <c r="E37" i="15"/>
  <c r="E36" i="15"/>
  <c r="E35" i="15"/>
  <c r="E33" i="15"/>
  <c r="E32" i="15"/>
  <c r="E31" i="15"/>
  <c r="E30" i="15"/>
  <c r="E29" i="15"/>
  <c r="E28" i="15"/>
  <c r="E27" i="15"/>
  <c r="E26" i="15"/>
  <c r="E25" i="15"/>
  <c r="E18" i="15"/>
  <c r="E19" i="15"/>
  <c r="E20" i="15"/>
  <c r="E21" i="15"/>
  <c r="E22" i="15"/>
  <c r="E23" i="15"/>
  <c r="E17" i="15"/>
  <c r="L81" i="15"/>
  <c r="L87" i="15"/>
  <c r="H102" i="15"/>
  <c r="H92" i="15"/>
  <c r="H87" i="15"/>
  <c r="H50" i="12"/>
  <c r="I50" i="12"/>
  <c r="J50" i="12"/>
  <c r="J40" i="12"/>
  <c r="J61" i="12"/>
  <c r="F23" i="12"/>
  <c r="F22" i="12"/>
  <c r="F244" i="27"/>
  <c r="F245" i="27"/>
  <c r="G242" i="27"/>
  <c r="M242" i="27"/>
  <c r="G241" i="27"/>
  <c r="F241" i="27"/>
  <c r="M241" i="27"/>
  <c r="F95" i="27"/>
  <c r="F93" i="27"/>
  <c r="F92" i="27"/>
  <c r="F91" i="27"/>
  <c r="F90" i="27"/>
  <c r="F89" i="27"/>
  <c r="F88" i="27"/>
  <c r="F87" i="27"/>
  <c r="F86" i="27"/>
  <c r="F85" i="27"/>
  <c r="F84" i="27"/>
  <c r="F83" i="27"/>
  <c r="F81" i="27"/>
  <c r="F80" i="27"/>
  <c r="F79" i="27"/>
  <c r="F78" i="27"/>
  <c r="F77" i="27"/>
  <c r="F76" i="27"/>
  <c r="F75" i="27"/>
  <c r="F74" i="27"/>
  <c r="F73" i="27"/>
  <c r="F72" i="27"/>
  <c r="F71" i="27"/>
  <c r="F68" i="27"/>
  <c r="F67" i="27"/>
  <c r="F66" i="27"/>
  <c r="F64" i="27"/>
  <c r="F62" i="27"/>
  <c r="F61" i="27"/>
  <c r="F60" i="27"/>
  <c r="F59" i="27"/>
  <c r="F58" i="27"/>
  <c r="F57" i="27"/>
  <c r="F56" i="27"/>
  <c r="F55" i="27"/>
  <c r="F54" i="27"/>
  <c r="F53" i="27"/>
  <c r="F49" i="27"/>
  <c r="F48" i="27"/>
  <c r="F47" i="27"/>
  <c r="F43" i="27"/>
  <c r="F44" i="27"/>
  <c r="F45" i="27"/>
  <c r="F42" i="27"/>
  <c r="F40" i="27"/>
  <c r="F39" i="27"/>
  <c r="F38" i="27"/>
  <c r="F37" i="27"/>
  <c r="F36" i="27"/>
  <c r="F35" i="27"/>
  <c r="F34" i="27"/>
  <c r="F29" i="27"/>
  <c r="F30" i="27"/>
  <c r="F31" i="27"/>
  <c r="F32" i="27"/>
  <c r="F28" i="27"/>
  <c r="M50" i="27"/>
  <c r="M70" i="27"/>
  <c r="M82" i="27"/>
  <c r="M94" i="27"/>
  <c r="M96" i="27"/>
  <c r="M97" i="27"/>
  <c r="M98" i="27"/>
  <c r="M99" i="27"/>
  <c r="M100" i="27"/>
  <c r="M101" i="27"/>
  <c r="M102" i="27"/>
  <c r="M103" i="27"/>
  <c r="M104" i="27"/>
  <c r="M105" i="27"/>
  <c r="M106" i="27"/>
  <c r="M107" i="27"/>
  <c r="M108" i="27"/>
  <c r="M109" i="27"/>
  <c r="M110" i="27"/>
  <c r="M111" i="27"/>
  <c r="M112" i="27"/>
  <c r="M113" i="27"/>
  <c r="M114" i="27"/>
  <c r="M115" i="27"/>
  <c r="M116" i="27"/>
  <c r="M117" i="27"/>
  <c r="M118" i="27"/>
  <c r="M119" i="27"/>
  <c r="M120" i="27"/>
  <c r="M121" i="27"/>
  <c r="M122" i="27"/>
  <c r="M123" i="27"/>
  <c r="M124" i="27"/>
  <c r="M125" i="27"/>
  <c r="M126" i="27"/>
  <c r="M127" i="27"/>
  <c r="M128" i="27"/>
  <c r="M129" i="27"/>
  <c r="M130" i="27"/>
  <c r="M131" i="27"/>
  <c r="M132" i="27"/>
  <c r="M133" i="27"/>
  <c r="M134" i="27"/>
  <c r="M135" i="27"/>
  <c r="M136" i="27"/>
  <c r="M137" i="27"/>
  <c r="M138" i="27"/>
  <c r="M139" i="27"/>
  <c r="M140" i="27"/>
  <c r="M141" i="27"/>
  <c r="M142" i="27"/>
  <c r="M143" i="27"/>
  <c r="M144" i="27"/>
  <c r="M145" i="27"/>
  <c r="M146" i="27"/>
  <c r="M147" i="27"/>
  <c r="M148" i="27"/>
  <c r="M149" i="27"/>
  <c r="M150" i="27"/>
  <c r="M151" i="27"/>
  <c r="M152" i="27"/>
  <c r="M153" i="27"/>
  <c r="M154" i="27"/>
  <c r="M155" i="27"/>
  <c r="M156" i="27"/>
  <c r="M157" i="27"/>
  <c r="M158" i="27"/>
  <c r="M159" i="27"/>
  <c r="M160" i="27"/>
  <c r="M161" i="27"/>
  <c r="M162" i="27"/>
  <c r="M163" i="27"/>
  <c r="M164" i="27"/>
  <c r="M165" i="27"/>
  <c r="M166" i="27"/>
  <c r="M167" i="27"/>
  <c r="M168" i="27"/>
  <c r="F25" i="27"/>
  <c r="F24" i="27"/>
  <c r="F19" i="27"/>
  <c r="F20" i="27"/>
  <c r="M26" i="27"/>
  <c r="H95" i="27"/>
  <c r="H243" i="27"/>
  <c r="I243" i="27"/>
  <c r="E243" i="27"/>
  <c r="I201" i="27"/>
  <c r="I202" i="27"/>
  <c r="I203" i="27"/>
  <c r="I204" i="27"/>
  <c r="I205" i="27"/>
  <c r="I206" i="27"/>
  <c r="I207" i="27"/>
  <c r="I208" i="27"/>
  <c r="I209" i="27"/>
  <c r="I210" i="27"/>
  <c r="I211" i="27"/>
  <c r="I212" i="27"/>
  <c r="I213" i="27"/>
  <c r="I214" i="27"/>
  <c r="I215" i="27"/>
  <c r="I216" i="27"/>
  <c r="I217" i="27"/>
  <c r="I218" i="27"/>
  <c r="I219" i="27"/>
  <c r="I220" i="27"/>
  <c r="I221" i="27"/>
  <c r="I222" i="27"/>
  <c r="I223" i="27"/>
  <c r="I224" i="27"/>
  <c r="I225" i="27"/>
  <c r="I226" i="27"/>
  <c r="I227" i="27"/>
  <c r="I228" i="27"/>
  <c r="I229" i="27"/>
  <c r="I230" i="27"/>
  <c r="I231" i="27"/>
  <c r="I232" i="27"/>
  <c r="I233" i="27"/>
  <c r="I234" i="27"/>
  <c r="I235" i="27"/>
  <c r="I236" i="27"/>
  <c r="I237" i="27"/>
  <c r="I238" i="27"/>
  <c r="I239" i="27"/>
  <c r="I244" i="27"/>
  <c r="G244" i="27"/>
  <c r="Q88" i="15"/>
  <c r="P88" i="15"/>
  <c r="M244" i="27"/>
  <c r="H47" i="27"/>
  <c r="H42" i="27"/>
  <c r="H77" i="9"/>
  <c r="H76" i="9"/>
  <c r="I54" i="9"/>
  <c r="I53" i="9"/>
  <c r="H54" i="9"/>
  <c r="H53" i="9"/>
  <c r="G24" i="8"/>
  <c r="C11" i="8"/>
  <c r="E9" i="10"/>
  <c r="F20" i="7"/>
  <c r="I141" i="2"/>
  <c r="I52" i="1"/>
  <c r="V45" i="10"/>
  <c r="V44" i="10"/>
  <c r="V47" i="10"/>
  <c r="V38" i="10"/>
  <c r="U45" i="10"/>
  <c r="T45" i="10"/>
  <c r="U38" i="10"/>
  <c r="T38" i="10"/>
  <c r="V36" i="10"/>
  <c r="V42" i="10"/>
  <c r="V27" i="10"/>
  <c r="V28" i="10"/>
  <c r="V26" i="10"/>
  <c r="T42" i="10"/>
  <c r="T36" i="10"/>
  <c r="F40" i="7"/>
  <c r="F46" i="7"/>
  <c r="H29" i="7"/>
  <c r="H28" i="7"/>
  <c r="H23" i="7"/>
  <c r="C55" i="26"/>
  <c r="H44" i="19"/>
  <c r="G44" i="19"/>
  <c r="O44" i="19"/>
  <c r="C13" i="20"/>
  <c r="B11" i="28"/>
  <c r="B8" i="28"/>
  <c r="I24" i="24"/>
  <c r="I34" i="24"/>
  <c r="O53" i="10"/>
  <c r="H48" i="10"/>
  <c r="H49" i="10"/>
  <c r="H50" i="10"/>
  <c r="H34" i="10"/>
  <c r="H35" i="10"/>
  <c r="H36" i="10"/>
  <c r="H38" i="10"/>
  <c r="H39" i="10"/>
  <c r="H40" i="10"/>
  <c r="H41" i="10"/>
  <c r="H42" i="10"/>
  <c r="H43" i="10"/>
  <c r="H44" i="10"/>
  <c r="H45" i="10"/>
  <c r="H46" i="10"/>
  <c r="G48" i="10"/>
  <c r="G50" i="10"/>
  <c r="G49" i="10"/>
  <c r="G43" i="10"/>
  <c r="G44" i="10"/>
  <c r="G45" i="10"/>
  <c r="G46" i="10"/>
  <c r="G39" i="10"/>
  <c r="G40" i="10"/>
  <c r="G41" i="10"/>
  <c r="G42" i="10"/>
  <c r="G38" i="10"/>
  <c r="G36" i="10"/>
  <c r="G35" i="10"/>
  <c r="G34" i="10"/>
  <c r="H21" i="10"/>
  <c r="H22" i="10"/>
  <c r="H23" i="10"/>
  <c r="H24" i="10"/>
  <c r="H25" i="10"/>
  <c r="H26" i="10"/>
  <c r="H27" i="10"/>
  <c r="H28" i="10"/>
  <c r="H29" i="10"/>
  <c r="H30" i="10"/>
  <c r="G30" i="10"/>
  <c r="G29" i="10"/>
  <c r="G27" i="10"/>
  <c r="G28" i="10"/>
  <c r="G24" i="10"/>
  <c r="G25" i="10"/>
  <c r="G26" i="10"/>
  <c r="G22" i="10"/>
  <c r="G23" i="10"/>
  <c r="G21" i="10"/>
  <c r="F35" i="2"/>
  <c r="G35" i="2"/>
  <c r="F36" i="2"/>
  <c r="F37" i="2"/>
  <c r="G37" i="2"/>
  <c r="F38" i="2"/>
  <c r="G38" i="2"/>
  <c r="F39" i="2"/>
  <c r="G39" i="2"/>
  <c r="F40" i="2"/>
  <c r="G40" i="2"/>
  <c r="F41" i="2"/>
  <c r="G41" i="2"/>
  <c r="F42" i="2"/>
  <c r="G42" i="2"/>
  <c r="F34" i="2"/>
  <c r="G34" i="2"/>
  <c r="K61" i="2"/>
  <c r="L61" i="2"/>
  <c r="K60" i="2"/>
  <c r="L60" i="2"/>
  <c r="K56" i="2"/>
  <c r="L56" i="2"/>
  <c r="K55" i="2"/>
  <c r="L55" i="2"/>
  <c r="K54" i="2"/>
  <c r="L54" i="2"/>
  <c r="K53" i="2"/>
  <c r="L53" i="2"/>
  <c r="K52" i="2"/>
  <c r="L52" i="2"/>
  <c r="K47" i="2"/>
  <c r="L47" i="2"/>
  <c r="K48" i="2"/>
  <c r="L48" i="2"/>
  <c r="K46" i="2"/>
  <c r="L46" i="2"/>
  <c r="K36" i="2"/>
  <c r="L36" i="2"/>
  <c r="K37" i="2"/>
  <c r="L37" i="2"/>
  <c r="K38" i="2"/>
  <c r="L38" i="2"/>
  <c r="K39" i="2"/>
  <c r="L39" i="2"/>
  <c r="K40" i="2"/>
  <c r="L40" i="2"/>
  <c r="K35" i="2"/>
  <c r="L35" i="2"/>
  <c r="K25" i="2"/>
  <c r="L25" i="2"/>
  <c r="K26" i="2"/>
  <c r="L26" i="2"/>
  <c r="O42" i="10"/>
  <c r="K27" i="2"/>
  <c r="L27" i="2"/>
  <c r="K28" i="2"/>
  <c r="L28" i="2"/>
  <c r="K29" i="2"/>
  <c r="L29" i="2"/>
  <c r="K30" i="2"/>
  <c r="L30" i="2"/>
  <c r="K31" i="2"/>
  <c r="L31" i="2"/>
  <c r="K24" i="2"/>
  <c r="L24" i="2"/>
  <c r="F25" i="2"/>
  <c r="F26" i="2"/>
  <c r="G26" i="2"/>
  <c r="F27" i="2"/>
  <c r="G27" i="2"/>
  <c r="F28" i="2"/>
  <c r="G28" i="2"/>
  <c r="F29" i="2"/>
  <c r="G29" i="2"/>
  <c r="F30" i="2"/>
  <c r="G30" i="2"/>
  <c r="F24" i="2"/>
  <c r="G24" i="2"/>
  <c r="I145" i="2"/>
  <c r="J153" i="2"/>
  <c r="I153" i="2"/>
  <c r="J145" i="2"/>
  <c r="J139" i="2"/>
  <c r="I139" i="2"/>
  <c r="E136" i="2"/>
  <c r="J133" i="2"/>
  <c r="I133" i="2"/>
  <c r="J122" i="2"/>
  <c r="I122" i="2"/>
  <c r="E121" i="2"/>
  <c r="D121" i="2"/>
  <c r="E11" i="2"/>
  <c r="G25" i="2"/>
  <c r="O21" i="10"/>
  <c r="G36" i="2"/>
  <c r="O26" i="10"/>
  <c r="L22" i="2"/>
  <c r="C100" i="2"/>
  <c r="K44" i="2"/>
  <c r="J158" i="2"/>
  <c r="J135" i="2"/>
  <c r="E138" i="2"/>
  <c r="D136" i="2"/>
  <c r="D138" i="2"/>
  <c r="I158" i="2"/>
  <c r="I135" i="2"/>
  <c r="J160" i="2"/>
  <c r="J167" i="2"/>
  <c r="I160" i="2"/>
  <c r="I167" i="2"/>
  <c r="I167" i="27"/>
  <c r="I168" i="27"/>
  <c r="I169" i="27"/>
  <c r="I170" i="27"/>
  <c r="I171" i="27"/>
  <c r="I172" i="27"/>
  <c r="I173" i="27"/>
  <c r="I174" i="27"/>
  <c r="I175" i="27"/>
  <c r="I176" i="27"/>
  <c r="I177" i="27"/>
  <c r="I178" i="27"/>
  <c r="I179" i="27"/>
  <c r="I180" i="27"/>
  <c r="I181" i="27"/>
  <c r="I182" i="27"/>
  <c r="I183" i="27"/>
  <c r="I184" i="27"/>
  <c r="I185" i="27"/>
  <c r="I186" i="27"/>
  <c r="I187" i="27"/>
  <c r="I188" i="27"/>
  <c r="I189" i="27"/>
  <c r="I190" i="27"/>
  <c r="I191" i="27"/>
  <c r="I192" i="27"/>
  <c r="I193" i="27"/>
  <c r="I194" i="27"/>
  <c r="I195" i="27"/>
  <c r="I196" i="27"/>
  <c r="I197" i="27"/>
  <c r="I198" i="27"/>
  <c r="I199" i="27"/>
  <c r="I200" i="27"/>
  <c r="I90" i="27"/>
  <c r="J90" i="27"/>
  <c r="G90" i="27"/>
  <c r="M90" i="27"/>
  <c r="J54" i="29"/>
  <c r="I46" i="29"/>
  <c r="D28" i="29"/>
  <c r="J23" i="29"/>
  <c r="J34" i="29"/>
  <c r="J39" i="29"/>
  <c r="H52" i="10"/>
  <c r="J46" i="29"/>
  <c r="J18" i="29"/>
  <c r="E32" i="29"/>
  <c r="H31" i="10"/>
  <c r="E28" i="29"/>
  <c r="E18" i="29"/>
  <c r="J57" i="29"/>
  <c r="E39" i="29"/>
  <c r="J59" i="29"/>
  <c r="I54" i="29"/>
  <c r="I39" i="29"/>
  <c r="I34" i="29"/>
  <c r="D32" i="29"/>
  <c r="G31" i="10"/>
  <c r="I23" i="29"/>
  <c r="I18" i="29"/>
  <c r="D18" i="29"/>
  <c r="C7" i="29"/>
  <c r="C9" i="7"/>
  <c r="D39" i="29"/>
  <c r="I57" i="29"/>
  <c r="F41" i="19"/>
  <c r="F36" i="19"/>
  <c r="E36" i="19"/>
  <c r="F33" i="19"/>
  <c r="F29" i="19"/>
  <c r="F20" i="19"/>
  <c r="E52" i="16"/>
  <c r="E80" i="15"/>
  <c r="D49" i="16"/>
  <c r="F49" i="16"/>
  <c r="I59" i="29"/>
  <c r="I242" i="27"/>
  <c r="H240" i="27"/>
  <c r="H29" i="12"/>
  <c r="G240" i="27"/>
  <c r="M240" i="27"/>
  <c r="F240" i="27"/>
  <c r="F29" i="12"/>
  <c r="F56" i="12"/>
  <c r="E240" i="27"/>
  <c r="I98" i="27"/>
  <c r="I99" i="27"/>
  <c r="I100" i="27"/>
  <c r="I101" i="27"/>
  <c r="I102" i="27"/>
  <c r="I103" i="27"/>
  <c r="I104" i="27"/>
  <c r="I105" i="27"/>
  <c r="I106" i="27"/>
  <c r="I107" i="27"/>
  <c r="I108" i="27"/>
  <c r="I109" i="27"/>
  <c r="I110" i="27"/>
  <c r="I111" i="27"/>
  <c r="I112" i="27"/>
  <c r="I113" i="27"/>
  <c r="I114" i="27"/>
  <c r="I115" i="27"/>
  <c r="I116" i="27"/>
  <c r="I117" i="27"/>
  <c r="I118" i="27"/>
  <c r="I119" i="27"/>
  <c r="I120" i="27"/>
  <c r="I121" i="27"/>
  <c r="I122" i="27"/>
  <c r="I123" i="27"/>
  <c r="I124" i="27"/>
  <c r="I125" i="27"/>
  <c r="I126" i="27"/>
  <c r="I127" i="27"/>
  <c r="I128" i="27"/>
  <c r="I129" i="27"/>
  <c r="I130" i="27"/>
  <c r="I131" i="27"/>
  <c r="I132" i="27"/>
  <c r="I133" i="27"/>
  <c r="I134" i="27"/>
  <c r="I135" i="27"/>
  <c r="I136" i="27"/>
  <c r="I137" i="27"/>
  <c r="I138" i="27"/>
  <c r="I139" i="27"/>
  <c r="I140" i="27"/>
  <c r="I141" i="27"/>
  <c r="I142" i="27"/>
  <c r="I143" i="27"/>
  <c r="I144" i="27"/>
  <c r="I145" i="27"/>
  <c r="I146" i="27"/>
  <c r="I147" i="27"/>
  <c r="I148" i="27"/>
  <c r="I149" i="27"/>
  <c r="I150" i="27"/>
  <c r="I151" i="27"/>
  <c r="I152" i="27"/>
  <c r="I153" i="27"/>
  <c r="I154" i="27"/>
  <c r="I155" i="27"/>
  <c r="I156" i="27"/>
  <c r="I157" i="27"/>
  <c r="I158" i="27"/>
  <c r="I159" i="27"/>
  <c r="I160" i="27"/>
  <c r="I161" i="27"/>
  <c r="I162" i="27"/>
  <c r="I163" i="27"/>
  <c r="I164" i="27"/>
  <c r="I165" i="27"/>
  <c r="I166" i="27"/>
  <c r="I81" i="27"/>
  <c r="J81" i="27"/>
  <c r="G81" i="27"/>
  <c r="M81" i="27"/>
  <c r="I241" i="27"/>
  <c r="I240" i="27"/>
  <c r="J240" i="27"/>
  <c r="I245" i="27"/>
  <c r="I97" i="27"/>
  <c r="I93" i="27"/>
  <c r="I92" i="27"/>
  <c r="I91" i="27"/>
  <c r="I89" i="27"/>
  <c r="I88" i="27"/>
  <c r="I87" i="27"/>
  <c r="I86" i="27"/>
  <c r="I85" i="27"/>
  <c r="I84" i="27"/>
  <c r="I83" i="27"/>
  <c r="I80" i="27"/>
  <c r="I79" i="27"/>
  <c r="I78" i="27"/>
  <c r="I77" i="27"/>
  <c r="I76" i="27"/>
  <c r="I75" i="27"/>
  <c r="I74" i="27"/>
  <c r="I73" i="27"/>
  <c r="I72" i="27"/>
  <c r="I71" i="27"/>
  <c r="I68" i="27"/>
  <c r="I67" i="27"/>
  <c r="I66" i="27"/>
  <c r="I64" i="27"/>
  <c r="I62" i="27"/>
  <c r="I61" i="27"/>
  <c r="I60" i="27"/>
  <c r="I59" i="27"/>
  <c r="I58" i="27"/>
  <c r="I57" i="27"/>
  <c r="I56" i="27"/>
  <c r="I55" i="27"/>
  <c r="I54" i="27"/>
  <c r="I53" i="27"/>
  <c r="I49" i="27"/>
  <c r="I48" i="27"/>
  <c r="I45" i="27"/>
  <c r="I44" i="27"/>
  <c r="I43" i="27"/>
  <c r="I40" i="27"/>
  <c r="I39" i="27"/>
  <c r="I38" i="27"/>
  <c r="I37" i="27"/>
  <c r="I36" i="27"/>
  <c r="I35" i="27"/>
  <c r="I34" i="27"/>
  <c r="I32" i="27"/>
  <c r="I31" i="27"/>
  <c r="I30" i="27"/>
  <c r="I29" i="27"/>
  <c r="I28" i="27"/>
  <c r="I19" i="27"/>
  <c r="I20" i="27"/>
  <c r="I21" i="27"/>
  <c r="I22" i="27"/>
  <c r="I23" i="27"/>
  <c r="I24" i="27"/>
  <c r="I25" i="27"/>
  <c r="I26" i="27"/>
  <c r="I18" i="27"/>
  <c r="G22" i="28"/>
  <c r="F28" i="28"/>
  <c r="H28" i="28"/>
  <c r="I28" i="28"/>
  <c r="E28" i="28"/>
  <c r="G30" i="28"/>
  <c r="G31" i="28"/>
  <c r="G32" i="28"/>
  <c r="G33" i="28"/>
  <c r="H24" i="28"/>
  <c r="I24" i="28"/>
  <c r="H23" i="28"/>
  <c r="I23" i="28"/>
  <c r="F19" i="28"/>
  <c r="F23" i="28"/>
  <c r="F24" i="28"/>
  <c r="F25" i="28"/>
  <c r="E26" i="28"/>
  <c r="E25" i="28"/>
  <c r="E24" i="28"/>
  <c r="G24" i="28"/>
  <c r="E23" i="28"/>
  <c r="G23" i="28"/>
  <c r="E21" i="28"/>
  <c r="E20" i="28"/>
  <c r="E19" i="28"/>
  <c r="G19" i="28"/>
  <c r="E18" i="28"/>
  <c r="J33" i="28"/>
  <c r="J29" i="28"/>
  <c r="G29" i="28"/>
  <c r="G28" i="28"/>
  <c r="H25" i="28"/>
  <c r="I25" i="28"/>
  <c r="J25" i="28"/>
  <c r="G25" i="28"/>
  <c r="H56" i="12"/>
  <c r="I56" i="12"/>
  <c r="I29" i="12"/>
  <c r="E17" i="28"/>
  <c r="E35" i="28"/>
  <c r="I31" i="28"/>
  <c r="J31" i="28"/>
  <c r="I32" i="28"/>
  <c r="J32" i="28"/>
  <c r="J28" i="28"/>
  <c r="J23" i="28"/>
  <c r="J24" i="28"/>
  <c r="G31" i="19"/>
  <c r="O31" i="19"/>
  <c r="G30" i="19"/>
  <c r="O30" i="19"/>
  <c r="G28" i="19"/>
  <c r="O28" i="19"/>
  <c r="G27" i="19"/>
  <c r="O27" i="19"/>
  <c r="G24" i="19"/>
  <c r="O24" i="19"/>
  <c r="G21" i="19"/>
  <c r="O21" i="19"/>
  <c r="E17" i="19"/>
  <c r="G17" i="19"/>
  <c r="O17" i="19"/>
  <c r="G19" i="19"/>
  <c r="O19" i="19"/>
  <c r="G18" i="19"/>
  <c r="O18" i="19"/>
  <c r="E44" i="19"/>
  <c r="F65" i="27"/>
  <c r="F69" i="27"/>
  <c r="G66" i="27"/>
  <c r="M66" i="27"/>
  <c r="G67" i="27"/>
  <c r="M67" i="27"/>
  <c r="G68" i="27"/>
  <c r="M68" i="27"/>
  <c r="F63" i="27"/>
  <c r="H63" i="27"/>
  <c r="J75" i="27"/>
  <c r="J243" i="27"/>
  <c r="I95" i="27"/>
  <c r="J95" i="27"/>
  <c r="G95" i="27"/>
  <c r="M95" i="27"/>
  <c r="J93" i="27"/>
  <c r="G93" i="27"/>
  <c r="M93" i="27"/>
  <c r="J92" i="27"/>
  <c r="G92" i="27"/>
  <c r="M92" i="27"/>
  <c r="J91" i="27"/>
  <c r="G91" i="27"/>
  <c r="M91" i="27"/>
  <c r="J89" i="27"/>
  <c r="G89" i="27"/>
  <c r="M89" i="27"/>
  <c r="J88" i="27"/>
  <c r="G88" i="27"/>
  <c r="M88" i="27"/>
  <c r="J87" i="27"/>
  <c r="G87" i="27"/>
  <c r="M87" i="27"/>
  <c r="J86" i="27"/>
  <c r="G86" i="27"/>
  <c r="M86" i="27"/>
  <c r="J85" i="27"/>
  <c r="G85" i="27"/>
  <c r="M85" i="27"/>
  <c r="J84" i="27"/>
  <c r="G84" i="27"/>
  <c r="M84" i="27"/>
  <c r="J83" i="27"/>
  <c r="G83" i="27"/>
  <c r="M83" i="27"/>
  <c r="J80" i="27"/>
  <c r="G80" i="27"/>
  <c r="M80" i="27"/>
  <c r="J79" i="27"/>
  <c r="G79" i="27"/>
  <c r="M79" i="27"/>
  <c r="J78" i="27"/>
  <c r="G78" i="27"/>
  <c r="M78" i="27"/>
  <c r="J77" i="27"/>
  <c r="G77" i="27"/>
  <c r="M77" i="27"/>
  <c r="J76" i="27"/>
  <c r="G76" i="27"/>
  <c r="M76" i="27"/>
  <c r="G75" i="27"/>
  <c r="M75" i="27"/>
  <c r="J74" i="27"/>
  <c r="G74" i="27"/>
  <c r="M74" i="27"/>
  <c r="J73" i="27"/>
  <c r="G73" i="27"/>
  <c r="M73" i="27"/>
  <c r="J72" i="27"/>
  <c r="G72" i="27"/>
  <c r="M72" i="27"/>
  <c r="J71" i="27"/>
  <c r="G71" i="27"/>
  <c r="M71" i="27"/>
  <c r="E69" i="27"/>
  <c r="J68" i="27"/>
  <c r="J67" i="27"/>
  <c r="J66" i="27"/>
  <c r="I65" i="27"/>
  <c r="H65" i="27"/>
  <c r="E65" i="27"/>
  <c r="J64" i="27"/>
  <c r="G64" i="27"/>
  <c r="M64" i="27"/>
  <c r="I63" i="27"/>
  <c r="E63" i="27"/>
  <c r="J62" i="27"/>
  <c r="G62" i="27"/>
  <c r="M62" i="27"/>
  <c r="J61" i="27"/>
  <c r="G61" i="27"/>
  <c r="M61" i="27"/>
  <c r="J60" i="27"/>
  <c r="G60" i="27"/>
  <c r="M60" i="27"/>
  <c r="J59" i="27"/>
  <c r="G59" i="27"/>
  <c r="M59" i="27"/>
  <c r="J58" i="27"/>
  <c r="G58" i="27"/>
  <c r="M58" i="27"/>
  <c r="J57" i="27"/>
  <c r="G57" i="27"/>
  <c r="M57" i="27"/>
  <c r="J56" i="27"/>
  <c r="G56" i="27"/>
  <c r="M56" i="27"/>
  <c r="J55" i="27"/>
  <c r="G55" i="27"/>
  <c r="M55" i="27"/>
  <c r="J54" i="27"/>
  <c r="G54" i="27"/>
  <c r="M54" i="27"/>
  <c r="J53" i="27"/>
  <c r="G53" i="27"/>
  <c r="I52" i="27"/>
  <c r="H52" i="27"/>
  <c r="F52" i="27"/>
  <c r="E52" i="27"/>
  <c r="J50" i="27"/>
  <c r="G50" i="27"/>
  <c r="J49" i="27"/>
  <c r="G49" i="27"/>
  <c r="M49" i="27"/>
  <c r="J48" i="27"/>
  <c r="G48" i="27"/>
  <c r="M48" i="27"/>
  <c r="I47" i="27"/>
  <c r="E47" i="27"/>
  <c r="F46" i="27"/>
  <c r="J45" i="27"/>
  <c r="G45" i="27"/>
  <c r="M45" i="27"/>
  <c r="J44" i="27"/>
  <c r="G44" i="27"/>
  <c r="M44" i="27"/>
  <c r="J43" i="27"/>
  <c r="J42" i="27"/>
  <c r="G43" i="27"/>
  <c r="M43" i="27"/>
  <c r="I42" i="27"/>
  <c r="I41" i="27"/>
  <c r="E42" i="27"/>
  <c r="E41" i="27"/>
  <c r="H41" i="27"/>
  <c r="H22" i="12"/>
  <c r="H21" i="12"/>
  <c r="F41" i="27"/>
  <c r="J40" i="27"/>
  <c r="G40" i="27"/>
  <c r="M40" i="27"/>
  <c r="J39" i="27"/>
  <c r="G39" i="27"/>
  <c r="M39" i="27"/>
  <c r="J38" i="27"/>
  <c r="G38" i="27"/>
  <c r="M38" i="27"/>
  <c r="J37" i="27"/>
  <c r="G37" i="27"/>
  <c r="M37" i="27"/>
  <c r="J36" i="27"/>
  <c r="G36" i="27"/>
  <c r="M36" i="27"/>
  <c r="J35" i="27"/>
  <c r="G35" i="27"/>
  <c r="M35" i="27"/>
  <c r="J34" i="27"/>
  <c r="G34" i="27"/>
  <c r="M34" i="27"/>
  <c r="I33" i="27"/>
  <c r="J33" i="27"/>
  <c r="H33" i="27"/>
  <c r="F33" i="27"/>
  <c r="F20" i="12"/>
  <c r="E33" i="27"/>
  <c r="J32" i="27"/>
  <c r="G32" i="27"/>
  <c r="M32" i="27"/>
  <c r="J31" i="27"/>
  <c r="G31" i="27"/>
  <c r="M31" i="27"/>
  <c r="J30" i="27"/>
  <c r="G30" i="27"/>
  <c r="M30" i="27"/>
  <c r="J29" i="27"/>
  <c r="G29" i="27"/>
  <c r="M29" i="27"/>
  <c r="J28" i="27"/>
  <c r="G28" i="27"/>
  <c r="M28" i="27"/>
  <c r="I27" i="27"/>
  <c r="J27" i="27"/>
  <c r="H27" i="27"/>
  <c r="H19" i="12"/>
  <c r="F27" i="27"/>
  <c r="F19" i="12"/>
  <c r="F20" i="28"/>
  <c r="G20" i="28"/>
  <c r="E27" i="27"/>
  <c r="J26" i="27"/>
  <c r="G26" i="27"/>
  <c r="J25" i="27"/>
  <c r="G25" i="27"/>
  <c r="M25" i="27"/>
  <c r="J24" i="27"/>
  <c r="G24" i="27"/>
  <c r="M24" i="27"/>
  <c r="J23" i="27"/>
  <c r="G23" i="27"/>
  <c r="M23" i="27"/>
  <c r="J22" i="27"/>
  <c r="G22" i="27"/>
  <c r="M22" i="27"/>
  <c r="J21" i="27"/>
  <c r="G21" i="27"/>
  <c r="M21" i="27"/>
  <c r="J20" i="27"/>
  <c r="G20" i="27"/>
  <c r="M20" i="27"/>
  <c r="J19" i="27"/>
  <c r="G19" i="27"/>
  <c r="M19" i="27"/>
  <c r="J18" i="27"/>
  <c r="G18" i="27"/>
  <c r="M18" i="27"/>
  <c r="I17" i="27"/>
  <c r="H17" i="27"/>
  <c r="H17" i="12"/>
  <c r="F17" i="27"/>
  <c r="E17" i="27"/>
  <c r="G52" i="27"/>
  <c r="M52" i="27"/>
  <c r="M53" i="27"/>
  <c r="J41" i="27"/>
  <c r="H20" i="12"/>
  <c r="J63" i="27"/>
  <c r="F17" i="12"/>
  <c r="F18" i="28"/>
  <c r="G18" i="28"/>
  <c r="G17" i="27"/>
  <c r="M17" i="27"/>
  <c r="G47" i="27"/>
  <c r="M47" i="27"/>
  <c r="F25" i="12"/>
  <c r="G65" i="27"/>
  <c r="M65" i="27"/>
  <c r="G63" i="27"/>
  <c r="M63" i="27"/>
  <c r="F51" i="27"/>
  <c r="J17" i="27"/>
  <c r="E51" i="27"/>
  <c r="H51" i="27"/>
  <c r="I69" i="27"/>
  <c r="G27" i="27"/>
  <c r="M27" i="27"/>
  <c r="G33" i="27"/>
  <c r="M33" i="27"/>
  <c r="G42" i="27"/>
  <c r="E46" i="27"/>
  <c r="G46" i="27"/>
  <c r="M46" i="27"/>
  <c r="H46" i="27"/>
  <c r="H25" i="12"/>
  <c r="J52" i="27"/>
  <c r="J65" i="27"/>
  <c r="J69" i="27"/>
  <c r="G69" i="27"/>
  <c r="M69" i="27"/>
  <c r="E247" i="27"/>
  <c r="I46" i="27"/>
  <c r="J47" i="27"/>
  <c r="I51" i="27"/>
  <c r="J51" i="27"/>
  <c r="G41" i="27"/>
  <c r="M41" i="27"/>
  <c r="M42" i="27"/>
  <c r="G51" i="27"/>
  <c r="M51" i="27"/>
  <c r="H247" i="27"/>
  <c r="I247" i="27"/>
  <c r="J46" i="27"/>
  <c r="J247" i="27"/>
  <c r="G24" i="14"/>
  <c r="E24" i="14"/>
  <c r="F24" i="17"/>
  <c r="G24" i="17"/>
  <c r="F47" i="16"/>
  <c r="M47" i="16"/>
  <c r="F46" i="16"/>
  <c r="M46" i="16"/>
  <c r="F45" i="16"/>
  <c r="M45" i="16"/>
  <c r="F44" i="16"/>
  <c r="M44" i="16"/>
  <c r="F43" i="16"/>
  <c r="M43" i="16"/>
  <c r="F42" i="16"/>
  <c r="M42" i="16"/>
  <c r="F41" i="16"/>
  <c r="M41" i="16"/>
  <c r="F40" i="16"/>
  <c r="M40" i="16"/>
  <c r="F39" i="16"/>
  <c r="M39" i="16"/>
  <c r="F38" i="16"/>
  <c r="M38" i="16"/>
  <c r="F35" i="16"/>
  <c r="M35" i="16"/>
  <c r="F34" i="16"/>
  <c r="M34" i="16"/>
  <c r="F33" i="16"/>
  <c r="M33" i="16"/>
  <c r="F32" i="16"/>
  <c r="M32" i="16"/>
  <c r="F31" i="16"/>
  <c r="M31" i="16"/>
  <c r="F30" i="16"/>
  <c r="M30" i="16"/>
  <c r="F29" i="16"/>
  <c r="M29" i="16"/>
  <c r="F26" i="16"/>
  <c r="M26" i="16"/>
  <c r="F25" i="16"/>
  <c r="M25" i="16"/>
  <c r="F24" i="16"/>
  <c r="M24" i="16"/>
  <c r="F23" i="16"/>
  <c r="M23" i="16"/>
  <c r="F22" i="16"/>
  <c r="M22" i="16"/>
  <c r="F21" i="16"/>
  <c r="M21" i="16"/>
  <c r="F20" i="16"/>
  <c r="M20" i="16"/>
  <c r="F19" i="16"/>
  <c r="M19" i="16"/>
  <c r="H22" i="14"/>
  <c r="G22" i="14"/>
  <c r="E22" i="14"/>
  <c r="F22" i="14"/>
  <c r="D28" i="14"/>
  <c r="F24" i="14"/>
  <c r="I24" i="14"/>
  <c r="F19" i="13"/>
  <c r="L19" i="13"/>
  <c r="F20" i="13"/>
  <c r="L20" i="13"/>
  <c r="F21" i="13"/>
  <c r="L21" i="13"/>
  <c r="F22" i="13"/>
  <c r="L22" i="13"/>
  <c r="F23" i="13"/>
  <c r="L23" i="13"/>
  <c r="F24" i="13"/>
  <c r="L24" i="13"/>
  <c r="F25" i="13"/>
  <c r="L25" i="13"/>
  <c r="F26" i="13"/>
  <c r="L26" i="13"/>
  <c r="F27" i="13"/>
  <c r="L27" i="13"/>
  <c r="F28" i="13"/>
  <c r="L28" i="13"/>
  <c r="F29" i="13"/>
  <c r="L29" i="13"/>
  <c r="F30" i="13"/>
  <c r="L30" i="13"/>
  <c r="F31" i="13"/>
  <c r="L31" i="13"/>
  <c r="F32" i="13"/>
  <c r="L32" i="13"/>
  <c r="F33" i="13"/>
  <c r="L33" i="13"/>
  <c r="F34" i="13"/>
  <c r="L34" i="13"/>
  <c r="F35" i="13"/>
  <c r="L35" i="13"/>
  <c r="F36" i="13"/>
  <c r="L36" i="13"/>
  <c r="F37" i="13"/>
  <c r="L37" i="13"/>
  <c r="F38" i="13"/>
  <c r="L38" i="13"/>
  <c r="F39" i="13"/>
  <c r="L39" i="13"/>
  <c r="F40" i="13"/>
  <c r="L40" i="13"/>
  <c r="F41" i="13"/>
  <c r="L41" i="13"/>
  <c r="F42" i="13"/>
  <c r="L42" i="13"/>
  <c r="F43" i="13"/>
  <c r="L43" i="13"/>
  <c r="F44" i="13"/>
  <c r="L44" i="13"/>
  <c r="F45" i="13"/>
  <c r="L45" i="13"/>
  <c r="F46" i="13"/>
  <c r="L46" i="13"/>
  <c r="F47" i="13"/>
  <c r="L47" i="13"/>
  <c r="F48" i="13"/>
  <c r="L48" i="13"/>
  <c r="F49" i="13"/>
  <c r="L49" i="13"/>
  <c r="F50" i="13"/>
  <c r="L50" i="13"/>
  <c r="F51" i="13"/>
  <c r="L51" i="13"/>
  <c r="F52" i="13"/>
  <c r="L52" i="13"/>
  <c r="F53" i="13"/>
  <c r="L53" i="13"/>
  <c r="F54" i="13"/>
  <c r="L54" i="13"/>
  <c r="F55" i="13"/>
  <c r="L55" i="13"/>
  <c r="F56" i="13"/>
  <c r="L56" i="13"/>
  <c r="F57" i="13"/>
  <c r="L57" i="13"/>
  <c r="F58" i="13"/>
  <c r="L58" i="13"/>
  <c r="F59" i="13"/>
  <c r="L59" i="13"/>
  <c r="F60" i="13"/>
  <c r="L60" i="13"/>
  <c r="F61" i="13"/>
  <c r="L61" i="13"/>
  <c r="F62" i="13"/>
  <c r="L62" i="13"/>
  <c r="F63" i="13"/>
  <c r="L63" i="13"/>
  <c r="F64" i="13"/>
  <c r="L64" i="13"/>
  <c r="F65" i="13"/>
  <c r="L65" i="13"/>
  <c r="F18" i="13"/>
  <c r="L18" i="13"/>
  <c r="I65" i="13"/>
  <c r="E67" i="13"/>
  <c r="E96" i="13"/>
  <c r="D67" i="13"/>
  <c r="I60" i="13"/>
  <c r="I59" i="13"/>
  <c r="I58" i="13"/>
  <c r="F87" i="15"/>
  <c r="I87" i="15"/>
  <c r="F86" i="15"/>
  <c r="L86" i="15"/>
  <c r="F85" i="15"/>
  <c r="L85" i="15"/>
  <c r="F84" i="15"/>
  <c r="L84" i="15"/>
  <c r="F83" i="15"/>
  <c r="L83" i="15"/>
  <c r="F82" i="15"/>
  <c r="L82" i="15"/>
  <c r="F81" i="15"/>
  <c r="F78" i="15"/>
  <c r="L78" i="15"/>
  <c r="F77" i="15"/>
  <c r="L77" i="15"/>
  <c r="F67" i="15"/>
  <c r="L67" i="15"/>
  <c r="F66" i="15"/>
  <c r="L66" i="15"/>
  <c r="F65" i="15"/>
  <c r="L65" i="15"/>
  <c r="F63" i="15"/>
  <c r="L63" i="15"/>
  <c r="F62" i="15"/>
  <c r="L62" i="15"/>
  <c r="F61" i="15"/>
  <c r="L61" i="15"/>
  <c r="F60" i="15"/>
  <c r="L60" i="15"/>
  <c r="F59" i="15"/>
  <c r="L59" i="15"/>
  <c r="F58" i="15"/>
  <c r="L58" i="15"/>
  <c r="F57" i="15"/>
  <c r="L57" i="15"/>
  <c r="F56" i="15"/>
  <c r="L56" i="15"/>
  <c r="F55" i="15"/>
  <c r="L55" i="15"/>
  <c r="F53" i="15"/>
  <c r="L53" i="15"/>
  <c r="F52" i="15"/>
  <c r="L52" i="15"/>
  <c r="F51" i="15"/>
  <c r="L51" i="15"/>
  <c r="F50" i="15"/>
  <c r="L50" i="15"/>
  <c r="F49" i="15"/>
  <c r="L49" i="15"/>
  <c r="F48" i="15"/>
  <c r="L48" i="15"/>
  <c r="F47" i="15"/>
  <c r="L47" i="15"/>
  <c r="F46" i="15"/>
  <c r="L46" i="15"/>
  <c r="F45" i="15"/>
  <c r="L45" i="15"/>
  <c r="F43" i="15"/>
  <c r="L43" i="15"/>
  <c r="F42" i="15"/>
  <c r="L42" i="15"/>
  <c r="F41" i="15"/>
  <c r="L41" i="15"/>
  <c r="F40" i="15"/>
  <c r="L40" i="15"/>
  <c r="F39" i="15"/>
  <c r="L39" i="15"/>
  <c r="F38" i="15"/>
  <c r="L38" i="15"/>
  <c r="F37" i="15"/>
  <c r="L37" i="15"/>
  <c r="F36" i="15"/>
  <c r="L36" i="15"/>
  <c r="F35" i="15"/>
  <c r="L35" i="15"/>
  <c r="F33" i="15"/>
  <c r="L33" i="15"/>
  <c r="F32" i="15"/>
  <c r="L32" i="15"/>
  <c r="F31" i="15"/>
  <c r="L31" i="15"/>
  <c r="F30" i="15"/>
  <c r="L30" i="15"/>
  <c r="F29" i="15"/>
  <c r="L29" i="15"/>
  <c r="F28" i="15"/>
  <c r="L28" i="15"/>
  <c r="F27" i="15"/>
  <c r="L27" i="15"/>
  <c r="F26" i="15"/>
  <c r="L26" i="15"/>
  <c r="F25" i="15"/>
  <c r="L25" i="15"/>
  <c r="F18" i="15"/>
  <c r="L18" i="15"/>
  <c r="F19" i="15"/>
  <c r="L19" i="15"/>
  <c r="F20" i="15"/>
  <c r="L20" i="15"/>
  <c r="F21" i="15"/>
  <c r="L21" i="15"/>
  <c r="F22" i="15"/>
  <c r="L22" i="15"/>
  <c r="F23" i="15"/>
  <c r="L23" i="15"/>
  <c r="F17" i="15"/>
  <c r="L17" i="15"/>
  <c r="I49" i="15"/>
  <c r="I17" i="15"/>
  <c r="F67" i="13"/>
  <c r="F96" i="13"/>
  <c r="I18" i="13"/>
  <c r="G17" i="12"/>
  <c r="H18" i="28"/>
  <c r="H40" i="24"/>
  <c r="I45" i="16"/>
  <c r="I31" i="13"/>
  <c r="E171" i="3"/>
  <c r="E172" i="3"/>
  <c r="E173" i="3"/>
  <c r="E174" i="3"/>
  <c r="E176" i="3"/>
  <c r="E179" i="3"/>
  <c r="E184" i="3"/>
  <c r="E186" i="3"/>
  <c r="E190" i="3"/>
  <c r="E192" i="3"/>
  <c r="E193" i="3"/>
  <c r="E194" i="3"/>
  <c r="E195" i="3"/>
  <c r="E196" i="3"/>
  <c r="E155" i="3"/>
  <c r="H26" i="28"/>
  <c r="I26" i="28"/>
  <c r="J26" i="28"/>
  <c r="E210" i="3"/>
  <c r="E211" i="3"/>
  <c r="E212" i="3"/>
  <c r="E164" i="3"/>
  <c r="E213" i="3"/>
  <c r="H17" i="19"/>
  <c r="H20" i="28"/>
  <c r="I20" i="28"/>
  <c r="J20" i="28"/>
  <c r="G22" i="12"/>
  <c r="C27" i="20"/>
  <c r="I34" i="16"/>
  <c r="E28" i="16"/>
  <c r="F28" i="16"/>
  <c r="M28" i="16"/>
  <c r="E44" i="15"/>
  <c r="E16" i="15"/>
  <c r="G24" i="15"/>
  <c r="I40" i="24"/>
  <c r="G34" i="8"/>
  <c r="H34" i="8"/>
  <c r="D42" i="8"/>
  <c r="G42" i="8"/>
  <c r="K42" i="8"/>
  <c r="D41" i="8"/>
  <c r="G41" i="8"/>
  <c r="H41" i="8"/>
  <c r="D40" i="8"/>
  <c r="G40" i="8"/>
  <c r="H40" i="8"/>
  <c r="G39" i="8"/>
  <c r="G38" i="8"/>
  <c r="G37" i="8"/>
  <c r="H37" i="8"/>
  <c r="G36" i="8"/>
  <c r="G35" i="8"/>
  <c r="G25" i="8"/>
  <c r="G26" i="8"/>
  <c r="H26" i="8"/>
  <c r="G27" i="8"/>
  <c r="K27" i="8"/>
  <c r="G28" i="8"/>
  <c r="H28" i="8"/>
  <c r="G29" i="8"/>
  <c r="H29" i="8"/>
  <c r="G30" i="8"/>
  <c r="H24" i="8"/>
  <c r="H39" i="8"/>
  <c r="H35" i="8"/>
  <c r="H27" i="8"/>
  <c r="D22" i="7"/>
  <c r="E27" i="20"/>
  <c r="D27" i="20"/>
  <c r="C16" i="18"/>
  <c r="C21" i="18"/>
  <c r="C19" i="18"/>
  <c r="C20" i="18"/>
  <c r="C18" i="18"/>
  <c r="C17" i="18"/>
  <c r="G68" i="15"/>
  <c r="H68" i="15"/>
  <c r="I17" i="19"/>
  <c r="M17" i="19"/>
  <c r="H76" i="15"/>
  <c r="I59" i="12"/>
  <c r="H59" i="12"/>
  <c r="F59" i="12"/>
  <c r="G30" i="12"/>
  <c r="H48" i="12"/>
  <c r="I22" i="12"/>
  <c r="H19" i="28"/>
  <c r="I19" i="28"/>
  <c r="J19" i="28"/>
  <c r="H24" i="9"/>
  <c r="C12" i="9"/>
  <c r="C12" i="24"/>
  <c r="H20" i="10"/>
  <c r="H33" i="10"/>
  <c r="I55" i="13"/>
  <c r="B12" i="13"/>
  <c r="B11" i="15"/>
  <c r="B12" i="14"/>
  <c r="B12" i="16"/>
  <c r="B8" i="13"/>
  <c r="B7" i="15"/>
  <c r="B8" i="14"/>
  <c r="B8" i="16"/>
  <c r="F45" i="12"/>
  <c r="G45" i="12"/>
  <c r="I17" i="12"/>
  <c r="J17" i="12"/>
  <c r="E9" i="2"/>
  <c r="E7" i="10"/>
  <c r="I76" i="9"/>
  <c r="I77" i="9"/>
  <c r="H45" i="12"/>
  <c r="I45" i="12"/>
  <c r="H41" i="12"/>
  <c r="I41" i="12"/>
  <c r="E50" i="12"/>
  <c r="E48" i="12"/>
  <c r="E45" i="12"/>
  <c r="E43" i="12"/>
  <c r="E42" i="12"/>
  <c r="E41" i="12"/>
  <c r="F26" i="12"/>
  <c r="F24" i="12"/>
  <c r="H29" i="19"/>
  <c r="E35" i="20"/>
  <c r="D35" i="20"/>
  <c r="P20" i="10"/>
  <c r="P25" i="10"/>
  <c r="P40" i="10"/>
  <c r="P34" i="10"/>
  <c r="C33" i="20"/>
  <c r="C35" i="20"/>
  <c r="C37" i="20"/>
  <c r="I41" i="19"/>
  <c r="H41" i="19"/>
  <c r="E41" i="19"/>
  <c r="I36" i="19"/>
  <c r="H36" i="19"/>
  <c r="I33" i="19"/>
  <c r="H33" i="19"/>
  <c r="E33" i="19"/>
  <c r="G42" i="19"/>
  <c r="H20" i="19"/>
  <c r="E29" i="19"/>
  <c r="E47" i="19"/>
  <c r="E20" i="19"/>
  <c r="G41" i="19"/>
  <c r="I29" i="19"/>
  <c r="M29" i="19"/>
  <c r="I20" i="19"/>
  <c r="M20" i="19"/>
  <c r="H28" i="16"/>
  <c r="G37" i="16"/>
  <c r="G18" i="16"/>
  <c r="D37" i="16"/>
  <c r="E37" i="16"/>
  <c r="F37" i="16"/>
  <c r="M37" i="16"/>
  <c r="I22" i="16"/>
  <c r="I25" i="16"/>
  <c r="D48" i="16"/>
  <c r="G28" i="16"/>
  <c r="H18" i="16"/>
  <c r="H37" i="16"/>
  <c r="L37" i="16"/>
  <c r="D18" i="16"/>
  <c r="G80" i="15"/>
  <c r="H80" i="15"/>
  <c r="D44" i="15"/>
  <c r="D64" i="15"/>
  <c r="I47" i="13"/>
  <c r="I64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8" i="13"/>
  <c r="I49" i="13"/>
  <c r="I50" i="13"/>
  <c r="I51" i="13"/>
  <c r="I52" i="13"/>
  <c r="I53" i="13"/>
  <c r="I54" i="13"/>
  <c r="I56" i="13"/>
  <c r="I57" i="13"/>
  <c r="I62" i="13"/>
  <c r="I63" i="13"/>
  <c r="I19" i="13"/>
  <c r="I20" i="13"/>
  <c r="I22" i="13"/>
  <c r="I23" i="13"/>
  <c r="I24" i="13"/>
  <c r="I25" i="13"/>
  <c r="I26" i="13"/>
  <c r="I27" i="13"/>
  <c r="I28" i="13"/>
  <c r="I29" i="13"/>
  <c r="I30" i="13"/>
  <c r="F21" i="12"/>
  <c r="F35" i="7"/>
  <c r="H20" i="7"/>
  <c r="D27" i="7"/>
  <c r="I20" i="12"/>
  <c r="J20" i="12"/>
  <c r="I19" i="12"/>
  <c r="J19" i="12"/>
  <c r="E47" i="12"/>
  <c r="E44" i="12"/>
  <c r="G18" i="12"/>
  <c r="G23" i="12"/>
  <c r="G27" i="12"/>
  <c r="G29" i="12"/>
  <c r="H34" i="24"/>
  <c r="H75" i="9"/>
  <c r="D35" i="7"/>
  <c r="E27" i="7"/>
  <c r="E33" i="7"/>
  <c r="H35" i="7"/>
  <c r="D40" i="7"/>
  <c r="H44" i="7"/>
  <c r="H31" i="7"/>
  <c r="I33" i="1"/>
  <c r="E34" i="3"/>
  <c r="D32" i="1"/>
  <c r="E14" i="3"/>
  <c r="H24" i="24"/>
  <c r="J33" i="1"/>
  <c r="E86" i="3"/>
  <c r="J44" i="1"/>
  <c r="I44" i="1"/>
  <c r="J31" i="19"/>
  <c r="J30" i="19"/>
  <c r="J28" i="19"/>
  <c r="J27" i="19"/>
  <c r="J24" i="19"/>
  <c r="J21" i="19"/>
  <c r="J19" i="19"/>
  <c r="J18" i="19"/>
  <c r="C29" i="18"/>
  <c r="B29" i="18"/>
  <c r="F28" i="17"/>
  <c r="D28" i="17"/>
  <c r="I46" i="16"/>
  <c r="I44" i="16"/>
  <c r="I43" i="16"/>
  <c r="I42" i="16"/>
  <c r="I41" i="16"/>
  <c r="I40" i="16"/>
  <c r="I39" i="16"/>
  <c r="I38" i="16"/>
  <c r="I35" i="16"/>
  <c r="I33" i="16"/>
  <c r="I32" i="16"/>
  <c r="I31" i="16"/>
  <c r="I30" i="16"/>
  <c r="I29" i="16"/>
  <c r="D28" i="16"/>
  <c r="I26" i="16"/>
  <c r="I24" i="16"/>
  <c r="I23" i="16"/>
  <c r="I21" i="16"/>
  <c r="I20" i="16"/>
  <c r="I19" i="16"/>
  <c r="E18" i="16"/>
  <c r="D80" i="15"/>
  <c r="G76" i="15"/>
  <c r="D76" i="15"/>
  <c r="D68" i="15"/>
  <c r="H64" i="15"/>
  <c r="G64" i="15"/>
  <c r="E64" i="15"/>
  <c r="H54" i="15"/>
  <c r="G54" i="15"/>
  <c r="E54" i="15"/>
  <c r="D54" i="15"/>
  <c r="H44" i="15"/>
  <c r="S44" i="15"/>
  <c r="G44" i="15"/>
  <c r="H34" i="15"/>
  <c r="S34" i="15"/>
  <c r="G34" i="15"/>
  <c r="E34" i="15"/>
  <c r="D34" i="15"/>
  <c r="I84" i="15"/>
  <c r="I83" i="15"/>
  <c r="I82" i="15"/>
  <c r="I78" i="15"/>
  <c r="I77" i="15"/>
  <c r="F75" i="15"/>
  <c r="L75" i="15"/>
  <c r="F74" i="15"/>
  <c r="L74" i="15"/>
  <c r="F72" i="15"/>
  <c r="F71" i="15"/>
  <c r="F70" i="15"/>
  <c r="F69" i="15"/>
  <c r="I67" i="15"/>
  <c r="I66" i="15"/>
  <c r="I65" i="15"/>
  <c r="I63" i="15"/>
  <c r="I62" i="15"/>
  <c r="I61" i="15"/>
  <c r="I60" i="15"/>
  <c r="I59" i="15"/>
  <c r="I58" i="15"/>
  <c r="I57" i="15"/>
  <c r="I56" i="15"/>
  <c r="I55" i="15"/>
  <c r="I53" i="15"/>
  <c r="I52" i="15"/>
  <c r="I51" i="15"/>
  <c r="I50" i="15"/>
  <c r="I47" i="15"/>
  <c r="I46" i="15"/>
  <c r="I45" i="15"/>
  <c r="I43" i="15"/>
  <c r="I42" i="15"/>
  <c r="I41" i="15"/>
  <c r="I40" i="15"/>
  <c r="I39" i="15"/>
  <c r="I38" i="15"/>
  <c r="I37" i="15"/>
  <c r="I36" i="15"/>
  <c r="I35" i="15"/>
  <c r="H24" i="15"/>
  <c r="D24" i="15"/>
  <c r="H16" i="15"/>
  <c r="G16" i="15"/>
  <c r="I23" i="15"/>
  <c r="I22" i="15"/>
  <c r="I21" i="15"/>
  <c r="I20" i="15"/>
  <c r="I19" i="15"/>
  <c r="I18" i="15"/>
  <c r="D16" i="15"/>
  <c r="J56" i="12"/>
  <c r="J55" i="12"/>
  <c r="J54" i="12"/>
  <c r="J51" i="12"/>
  <c r="J49" i="12"/>
  <c r="J46" i="12"/>
  <c r="G59" i="12"/>
  <c r="G58" i="12"/>
  <c r="G56" i="12"/>
  <c r="G53" i="12"/>
  <c r="G55" i="12"/>
  <c r="G54" i="12"/>
  <c r="G46" i="12"/>
  <c r="G49" i="12"/>
  <c r="G51" i="12"/>
  <c r="I58" i="12"/>
  <c r="E33" i="20"/>
  <c r="E37" i="20"/>
  <c r="I53" i="12"/>
  <c r="E15" i="20"/>
  <c r="H58" i="12"/>
  <c r="D33" i="20"/>
  <c r="H53" i="12"/>
  <c r="D15" i="20"/>
  <c r="F58" i="12"/>
  <c r="F53" i="12"/>
  <c r="E58" i="12"/>
  <c r="E53" i="12"/>
  <c r="C15" i="20"/>
  <c r="J30" i="12"/>
  <c r="J59" i="12"/>
  <c r="J29" i="12"/>
  <c r="J27" i="12"/>
  <c r="J26" i="12"/>
  <c r="J23" i="12"/>
  <c r="J18" i="12"/>
  <c r="E24" i="12"/>
  <c r="E21" i="12"/>
  <c r="E198" i="3"/>
  <c r="G20" i="10"/>
  <c r="I66" i="9"/>
  <c r="H66" i="9"/>
  <c r="I38" i="9"/>
  <c r="H38" i="9"/>
  <c r="I24" i="9"/>
  <c r="I45" i="9"/>
  <c r="F32" i="8"/>
  <c r="E32" i="8"/>
  <c r="F22" i="8"/>
  <c r="E22" i="8"/>
  <c r="E20" i="8"/>
  <c r="H43" i="7"/>
  <c r="G40" i="7"/>
  <c r="H38" i="7"/>
  <c r="H37" i="7"/>
  <c r="H36" i="7"/>
  <c r="G35" i="7"/>
  <c r="E35" i="7"/>
  <c r="H30" i="7"/>
  <c r="G27" i="7"/>
  <c r="H25" i="7"/>
  <c r="H24" i="7"/>
  <c r="G22" i="7"/>
  <c r="G33" i="7"/>
  <c r="G46" i="7"/>
  <c r="F22" i="7"/>
  <c r="E22" i="7"/>
  <c r="E115" i="3"/>
  <c r="E114" i="3"/>
  <c r="E113" i="3"/>
  <c r="E112" i="3"/>
  <c r="E111" i="3"/>
  <c r="E110" i="3"/>
  <c r="E221" i="3"/>
  <c r="E220" i="3"/>
  <c r="E219" i="3"/>
  <c r="E218" i="3"/>
  <c r="E3" i="3"/>
  <c r="E2" i="3"/>
  <c r="E106" i="3"/>
  <c r="E107" i="3"/>
  <c r="E55" i="3"/>
  <c r="E54" i="3"/>
  <c r="E101" i="3"/>
  <c r="E102" i="3"/>
  <c r="E103" i="3"/>
  <c r="E104" i="3"/>
  <c r="E49" i="3"/>
  <c r="E50" i="3"/>
  <c r="E51" i="3"/>
  <c r="E52" i="3"/>
  <c r="E96" i="3"/>
  <c r="E97" i="3"/>
  <c r="E98" i="3"/>
  <c r="E45" i="3"/>
  <c r="E46" i="3"/>
  <c r="E44" i="3"/>
  <c r="E87" i="3"/>
  <c r="E88" i="3"/>
  <c r="E89" i="3"/>
  <c r="E90" i="3"/>
  <c r="E91" i="3"/>
  <c r="E92" i="3"/>
  <c r="E36" i="3"/>
  <c r="E37" i="3"/>
  <c r="E38" i="3"/>
  <c r="E39" i="3"/>
  <c r="E40" i="3"/>
  <c r="E35" i="3"/>
  <c r="E78" i="3"/>
  <c r="E79" i="3"/>
  <c r="E80" i="3"/>
  <c r="E81" i="3"/>
  <c r="E82" i="3"/>
  <c r="E83" i="3"/>
  <c r="E84" i="3"/>
  <c r="E85" i="3"/>
  <c r="E27" i="3"/>
  <c r="E28" i="3"/>
  <c r="E29" i="3"/>
  <c r="E30" i="3"/>
  <c r="E31" i="3"/>
  <c r="E32" i="3"/>
  <c r="E33" i="3"/>
  <c r="E26" i="3"/>
  <c r="E67" i="3"/>
  <c r="E68" i="3"/>
  <c r="E69" i="3"/>
  <c r="E70" i="3"/>
  <c r="E71" i="3"/>
  <c r="E72" i="3"/>
  <c r="E73" i="3"/>
  <c r="E74" i="3"/>
  <c r="E75" i="3"/>
  <c r="E16" i="3"/>
  <c r="E17" i="3"/>
  <c r="E18" i="3"/>
  <c r="E19" i="3"/>
  <c r="E20" i="3"/>
  <c r="E21" i="3"/>
  <c r="E22" i="3"/>
  <c r="E23" i="3"/>
  <c r="E15" i="3"/>
  <c r="E8" i="3"/>
  <c r="E60" i="3"/>
  <c r="E9" i="3"/>
  <c r="E61" i="3"/>
  <c r="E10" i="3"/>
  <c r="E62" i="3"/>
  <c r="E11" i="3"/>
  <c r="E63" i="3"/>
  <c r="E12" i="3"/>
  <c r="E64" i="3"/>
  <c r="E13" i="3"/>
  <c r="E65" i="3"/>
  <c r="E59" i="3"/>
  <c r="E7" i="3"/>
  <c r="E166" i="3"/>
  <c r="E161" i="3"/>
  <c r="E207" i="3"/>
  <c r="E158" i="3"/>
  <c r="E149" i="3"/>
  <c r="E201" i="3"/>
  <c r="E152" i="3"/>
  <c r="E203" i="3"/>
  <c r="E142" i="3"/>
  <c r="E208" i="3"/>
  <c r="E133" i="3"/>
  <c r="E185" i="3"/>
  <c r="E123" i="3"/>
  <c r="E175" i="3"/>
  <c r="E126" i="3"/>
  <c r="J64" i="1"/>
  <c r="E105" i="3"/>
  <c r="I64" i="1"/>
  <c r="E53" i="3"/>
  <c r="J50" i="1"/>
  <c r="E95" i="3"/>
  <c r="I50" i="1"/>
  <c r="E43" i="3"/>
  <c r="E47" i="1"/>
  <c r="E76" i="3"/>
  <c r="D47" i="1"/>
  <c r="E24" i="3"/>
  <c r="E32" i="1"/>
  <c r="E66" i="3"/>
  <c r="E148" i="3"/>
  <c r="E128" i="3"/>
  <c r="E167" i="3"/>
  <c r="E134" i="3"/>
  <c r="E151" i="3"/>
  <c r="E143" i="3"/>
  <c r="E145" i="3"/>
  <c r="D22" i="8"/>
  <c r="K39" i="8"/>
  <c r="E41" i="3"/>
  <c r="E68" i="15"/>
  <c r="O68" i="15"/>
  <c r="F73" i="15"/>
  <c r="L73" i="15"/>
  <c r="E40" i="12"/>
  <c r="C14" i="20"/>
  <c r="E32" i="12"/>
  <c r="E150" i="3"/>
  <c r="E162" i="3"/>
  <c r="E135" i="3"/>
  <c r="E121" i="3"/>
  <c r="E183" i="3"/>
  <c r="E153" i="3"/>
  <c r="E136" i="3"/>
  <c r="K58" i="2"/>
  <c r="E165" i="3"/>
  <c r="E129" i="3"/>
  <c r="E125" i="3"/>
  <c r="E157" i="3"/>
  <c r="E202" i="3"/>
  <c r="E199" i="3"/>
  <c r="E139" i="3"/>
  <c r="E141" i="3"/>
  <c r="E122" i="3"/>
  <c r="P29" i="10"/>
  <c r="E163" i="3"/>
  <c r="K35" i="8"/>
  <c r="H30" i="8"/>
  <c r="K30" i="8"/>
  <c r="O22" i="10"/>
  <c r="F18" i="16"/>
  <c r="I21" i="13"/>
  <c r="E216" i="3"/>
  <c r="E100" i="3"/>
  <c r="J56" i="1"/>
  <c r="E99" i="3"/>
  <c r="F27" i="7"/>
  <c r="F33" i="7"/>
  <c r="I56" i="1"/>
  <c r="I69" i="1"/>
  <c r="E56" i="3"/>
  <c r="E40" i="7"/>
  <c r="E48" i="3"/>
  <c r="I48" i="15"/>
  <c r="E160" i="3"/>
  <c r="H41" i="7"/>
  <c r="I85" i="15"/>
  <c r="I81" i="15"/>
  <c r="I86" i="15"/>
  <c r="J35" i="19"/>
  <c r="J34" i="19"/>
  <c r="G33" i="19"/>
  <c r="J37" i="19"/>
  <c r="J38" i="19"/>
  <c r="J39" i="19"/>
  <c r="J40" i="19"/>
  <c r="G36" i="19"/>
  <c r="J41" i="19"/>
  <c r="O41" i="19"/>
  <c r="J42" i="19"/>
  <c r="O42" i="19"/>
  <c r="J36" i="19"/>
  <c r="O36" i="19"/>
  <c r="J33" i="19"/>
  <c r="O33" i="19"/>
  <c r="I70" i="15"/>
  <c r="L70" i="15"/>
  <c r="I72" i="15"/>
  <c r="L72" i="15"/>
  <c r="I73" i="15"/>
  <c r="I69" i="15"/>
  <c r="L69" i="15"/>
  <c r="I71" i="15"/>
  <c r="L71" i="15"/>
  <c r="I75" i="15"/>
  <c r="I74" i="15"/>
  <c r="D54" i="16"/>
  <c r="F44" i="12"/>
  <c r="G44" i="12"/>
  <c r="G21" i="12"/>
  <c r="F21" i="28"/>
  <c r="G26" i="12"/>
  <c r="K26" i="8"/>
  <c r="H42" i="12"/>
  <c r="I42" i="12"/>
  <c r="J42" i="12"/>
  <c r="E46" i="7"/>
  <c r="H27" i="7"/>
  <c r="H54" i="10"/>
  <c r="K40" i="8"/>
  <c r="H42" i="8"/>
  <c r="E47" i="3"/>
  <c r="I46" i="1"/>
  <c r="E42" i="3"/>
  <c r="K41" i="8"/>
  <c r="D56" i="16"/>
  <c r="H67" i="13"/>
  <c r="H96" i="13"/>
  <c r="G67" i="13"/>
  <c r="G96" i="13"/>
  <c r="K29" i="8"/>
  <c r="P46" i="10"/>
  <c r="P49" i="10"/>
  <c r="E144" i="3"/>
  <c r="J46" i="1"/>
  <c r="E94" i="3"/>
  <c r="J69" i="1"/>
  <c r="E108" i="3"/>
  <c r="D33" i="7"/>
  <c r="H22" i="7"/>
  <c r="E93" i="3"/>
  <c r="K22" i="2"/>
  <c r="H38" i="8"/>
  <c r="K38" i="8"/>
  <c r="D32" i="8"/>
  <c r="D20" i="8"/>
  <c r="H36" i="8"/>
  <c r="K36" i="8"/>
  <c r="H25" i="8"/>
  <c r="K25" i="8"/>
  <c r="E49" i="1"/>
  <c r="E77" i="3"/>
  <c r="I21" i="12"/>
  <c r="J21" i="12"/>
  <c r="J22" i="12"/>
  <c r="G21" i="28"/>
  <c r="O20" i="10"/>
  <c r="C10" i="9"/>
  <c r="C10" i="24"/>
  <c r="L58" i="2"/>
  <c r="E215" i="3"/>
  <c r="E217" i="3"/>
  <c r="E191" i="3"/>
  <c r="O36" i="10"/>
  <c r="O35" i="10"/>
  <c r="F32" i="2"/>
  <c r="E156" i="3"/>
  <c r="E132" i="3"/>
  <c r="E140" i="3"/>
  <c r="E130" i="3"/>
  <c r="E124" i="3"/>
  <c r="E146" i="3"/>
  <c r="F44" i="15"/>
  <c r="L44" i="15"/>
  <c r="F54" i="15"/>
  <c r="L54" i="15"/>
  <c r="H43" i="12"/>
  <c r="I43" i="12"/>
  <c r="I18" i="28"/>
  <c r="F34" i="15"/>
  <c r="L34" i="15"/>
  <c r="D37" i="20"/>
  <c r="G26" i="14"/>
  <c r="G28" i="14"/>
  <c r="I47" i="19"/>
  <c r="F68" i="15"/>
  <c r="L68" i="15"/>
  <c r="F64" i="15"/>
  <c r="L64" i="15"/>
  <c r="F20" i="8"/>
  <c r="K24" i="8"/>
  <c r="P54" i="10"/>
  <c r="I48" i="12"/>
  <c r="I47" i="12"/>
  <c r="H47" i="12"/>
  <c r="H24" i="12"/>
  <c r="I25" i="12"/>
  <c r="H44" i="12"/>
  <c r="L50" i="2"/>
  <c r="O44" i="10"/>
  <c r="E138" i="3"/>
  <c r="O28" i="10"/>
  <c r="E182" i="3"/>
  <c r="E178" i="3"/>
  <c r="F22" i="2"/>
  <c r="E119" i="3"/>
  <c r="E120" i="3"/>
  <c r="J17" i="19"/>
  <c r="C15" i="18"/>
  <c r="C23" i="18"/>
  <c r="C31" i="18"/>
  <c r="B23" i="18"/>
  <c r="B31" i="18"/>
  <c r="G28" i="17"/>
  <c r="G30" i="17"/>
  <c r="D30" i="17"/>
  <c r="F30" i="17"/>
  <c r="I37" i="16"/>
  <c r="I28" i="16"/>
  <c r="I18" i="16"/>
  <c r="E49" i="19"/>
  <c r="D31" i="14"/>
  <c r="I61" i="13"/>
  <c r="I67" i="13"/>
  <c r="I96" i="13"/>
  <c r="I22" i="14"/>
  <c r="H48" i="16"/>
  <c r="I44" i="15"/>
  <c r="D88" i="15"/>
  <c r="H88" i="15"/>
  <c r="G88" i="15"/>
  <c r="F16" i="15"/>
  <c r="L16" i="15"/>
  <c r="J53" i="12"/>
  <c r="J58" i="12"/>
  <c r="E61" i="12"/>
  <c r="J43" i="12"/>
  <c r="A10" i="18"/>
  <c r="A9" i="20"/>
  <c r="B10" i="17"/>
  <c r="B11" i="19"/>
  <c r="B11" i="27"/>
  <c r="B8" i="19"/>
  <c r="B8" i="23"/>
  <c r="B8" i="27"/>
  <c r="B7" i="17"/>
  <c r="A7" i="18"/>
  <c r="H72" i="9"/>
  <c r="H45" i="9"/>
  <c r="I75" i="9"/>
  <c r="I72" i="9"/>
  <c r="G33" i="10"/>
  <c r="G54" i="10"/>
  <c r="K37" i="8"/>
  <c r="K34" i="8"/>
  <c r="K28" i="8"/>
  <c r="G22" i="8"/>
  <c r="H22" i="8"/>
  <c r="G24" i="12"/>
  <c r="F48" i="12"/>
  <c r="G25" i="12"/>
  <c r="J45" i="12"/>
  <c r="I44" i="12"/>
  <c r="J44" i="12"/>
  <c r="F43" i="12"/>
  <c r="G43" i="12"/>
  <c r="G20" i="12"/>
  <c r="F42" i="12"/>
  <c r="G42" i="12"/>
  <c r="G19" i="12"/>
  <c r="J41" i="12"/>
  <c r="F41" i="12"/>
  <c r="E131" i="3"/>
  <c r="D49" i="1"/>
  <c r="E25" i="3"/>
  <c r="O27" i="10"/>
  <c r="E181" i="3"/>
  <c r="E180" i="3"/>
  <c r="G22" i="2"/>
  <c r="E170" i="3"/>
  <c r="K50" i="2"/>
  <c r="L33" i="2"/>
  <c r="L20" i="2"/>
  <c r="E200" i="3"/>
  <c r="K33" i="2"/>
  <c r="E147" i="3"/>
  <c r="I71" i="1"/>
  <c r="E57" i="3"/>
  <c r="E189" i="3"/>
  <c r="M47" i="19"/>
  <c r="H54" i="16"/>
  <c r="L48" i="16"/>
  <c r="E137" i="3"/>
  <c r="O38" i="10"/>
  <c r="O34" i="10"/>
  <c r="H94" i="15"/>
  <c r="S88" i="15"/>
  <c r="I68" i="15"/>
  <c r="I64" i="15"/>
  <c r="I54" i="15"/>
  <c r="I34" i="15"/>
  <c r="G90" i="15"/>
  <c r="G94" i="15"/>
  <c r="C18" i="20"/>
  <c r="C17" i="20"/>
  <c r="C21" i="20"/>
  <c r="C25" i="20"/>
  <c r="C29" i="20"/>
  <c r="D94" i="15"/>
  <c r="J48" i="12"/>
  <c r="H40" i="12"/>
  <c r="D14" i="20"/>
  <c r="D13" i="20"/>
  <c r="E18" i="20"/>
  <c r="E17" i="20"/>
  <c r="E209" i="3"/>
  <c r="G32" i="8"/>
  <c r="H32" i="8"/>
  <c r="H20" i="8"/>
  <c r="E127" i="3"/>
  <c r="E187" i="3"/>
  <c r="J71" i="1"/>
  <c r="E109" i="3"/>
  <c r="L44" i="2"/>
  <c r="K42" i="2"/>
  <c r="E206" i="3"/>
  <c r="H33" i="7"/>
  <c r="D46" i="7"/>
  <c r="O25" i="10"/>
  <c r="O29" i="10"/>
  <c r="G32" i="2"/>
  <c r="E177" i="3"/>
  <c r="D90" i="15"/>
  <c r="H28" i="14"/>
  <c r="J47" i="12"/>
  <c r="I61" i="12"/>
  <c r="H69" i="13"/>
  <c r="H61" i="12"/>
  <c r="G69" i="13"/>
  <c r="J18" i="28"/>
  <c r="H21" i="28"/>
  <c r="F80" i="15"/>
  <c r="L80" i="15"/>
  <c r="I24" i="12"/>
  <c r="J25" i="12"/>
  <c r="E214" i="3"/>
  <c r="E188" i="3"/>
  <c r="E169" i="3"/>
  <c r="B9" i="26"/>
  <c r="H56" i="16"/>
  <c r="D69" i="13"/>
  <c r="I69" i="13"/>
  <c r="I49" i="19"/>
  <c r="M49" i="19"/>
  <c r="H90" i="15"/>
  <c r="H47" i="19"/>
  <c r="G48" i="16"/>
  <c r="G54" i="16"/>
  <c r="D18" i="20"/>
  <c r="D17" i="20"/>
  <c r="I16" i="15"/>
  <c r="H79" i="9"/>
  <c r="I79" i="9"/>
  <c r="I83" i="9"/>
  <c r="G48" i="12"/>
  <c r="G47" i="12"/>
  <c r="F47" i="12"/>
  <c r="I40" i="12"/>
  <c r="E14" i="20"/>
  <c r="G41" i="12"/>
  <c r="E159" i="3"/>
  <c r="E197" i="3"/>
  <c r="O41" i="10"/>
  <c r="G20" i="2"/>
  <c r="I80" i="15"/>
  <c r="G20" i="8"/>
  <c r="H31" i="14"/>
  <c r="G31" i="14"/>
  <c r="O40" i="10"/>
  <c r="O46" i="10"/>
  <c r="O49" i="10"/>
  <c r="H83" i="9"/>
  <c r="E118" i="3"/>
  <c r="E205" i="3"/>
  <c r="E204" i="3"/>
  <c r="E168" i="3"/>
  <c r="E154" i="3"/>
  <c r="D21" i="20"/>
  <c r="D25" i="20"/>
  <c r="D29" i="20"/>
  <c r="I21" i="28"/>
  <c r="H17" i="28"/>
  <c r="H35" i="28"/>
  <c r="G56" i="16"/>
  <c r="J24" i="12"/>
  <c r="E13" i="20"/>
  <c r="E21" i="20"/>
  <c r="E25" i="20"/>
  <c r="E29" i="20"/>
  <c r="H42" i="7"/>
  <c r="H49" i="19"/>
  <c r="K79" i="9"/>
  <c r="J21" i="28"/>
  <c r="J17" i="28"/>
  <c r="J35" i="28"/>
  <c r="I17" i="28"/>
  <c r="I35" i="28"/>
  <c r="H40" i="7"/>
  <c r="H46" i="7"/>
  <c r="O54" i="10"/>
  <c r="I33" i="15"/>
  <c r="I29" i="15"/>
  <c r="I25" i="15"/>
  <c r="I30" i="15"/>
  <c r="I26" i="15"/>
  <c r="I31" i="15"/>
  <c r="I27" i="15"/>
  <c r="I32" i="15"/>
  <c r="I28" i="15"/>
  <c r="E24" i="15"/>
  <c r="F24" i="15"/>
  <c r="L24" i="15"/>
  <c r="F18" i="14"/>
  <c r="I24" i="15"/>
  <c r="I18" i="14"/>
  <c r="F79" i="15"/>
  <c r="L79" i="15"/>
  <c r="E76" i="15"/>
  <c r="I79" i="15"/>
  <c r="F47" i="19"/>
  <c r="E26" i="14"/>
  <c r="F20" i="14"/>
  <c r="F76" i="15"/>
  <c r="L76" i="15"/>
  <c r="E88" i="15"/>
  <c r="E94" i="15"/>
  <c r="O88" i="15"/>
  <c r="P91" i="15"/>
  <c r="G43" i="19"/>
  <c r="O43" i="19"/>
  <c r="F50" i="16"/>
  <c r="E90" i="15"/>
  <c r="F26" i="14"/>
  <c r="I26" i="14"/>
  <c r="E28" i="14"/>
  <c r="I20" i="14"/>
  <c r="I76" i="15"/>
  <c r="I88" i="15"/>
  <c r="I94" i="15"/>
  <c r="F88" i="15"/>
  <c r="L88" i="15"/>
  <c r="F94" i="15"/>
  <c r="E31" i="14"/>
  <c r="F90" i="15"/>
  <c r="I90" i="15"/>
  <c r="F28" i="14"/>
  <c r="I28" i="14"/>
  <c r="I50" i="16"/>
  <c r="I31" i="14"/>
  <c r="F31" i="14"/>
  <c r="J43" i="19"/>
  <c r="I49" i="16"/>
  <c r="J44" i="19"/>
  <c r="F52" i="16"/>
  <c r="I52" i="16"/>
  <c r="G45" i="19"/>
  <c r="F51" i="16"/>
  <c r="I51" i="16"/>
  <c r="E48" i="16"/>
  <c r="E54" i="16"/>
  <c r="J45" i="19"/>
  <c r="E56" i="16"/>
  <c r="F48" i="16"/>
  <c r="I48" i="16"/>
  <c r="I54" i="16"/>
  <c r="F54" i="16"/>
  <c r="G23" i="19"/>
  <c r="J22" i="19"/>
  <c r="G22" i="19"/>
  <c r="O22" i="19"/>
  <c r="J25" i="19"/>
  <c r="G25" i="19"/>
  <c r="O25" i="19"/>
  <c r="G26" i="19"/>
  <c r="G20" i="19"/>
  <c r="G32" i="19"/>
  <c r="J32" i="19"/>
  <c r="O32" i="19"/>
  <c r="J26" i="19"/>
  <c r="O26" i="19"/>
  <c r="J20" i="19"/>
  <c r="O20" i="19"/>
  <c r="J23" i="19"/>
  <c r="O23" i="19"/>
  <c r="I56" i="16"/>
  <c r="F56" i="16"/>
  <c r="G29" i="19"/>
  <c r="O29" i="19"/>
  <c r="F49" i="19"/>
  <c r="J29" i="19"/>
  <c r="J47" i="19"/>
  <c r="G47" i="19"/>
  <c r="J49" i="19"/>
  <c r="G49" i="19"/>
  <c r="F243" i="27"/>
  <c r="F247" i="27"/>
  <c r="G245" i="27"/>
  <c r="G243" i="27"/>
  <c r="F28" i="12"/>
  <c r="F26" i="28"/>
  <c r="G247" i="27"/>
  <c r="M243" i="27"/>
  <c r="F17" i="28"/>
  <c r="F35" i="28"/>
  <c r="G26" i="28"/>
  <c r="G17" i="28"/>
  <c r="G35" i="28"/>
  <c r="M245" i="27"/>
  <c r="F50" i="12"/>
  <c r="G28" i="12"/>
  <c r="G32" i="12"/>
  <c r="F104" i="15"/>
  <c r="F106" i="15"/>
  <c r="F32" i="12"/>
  <c r="E104" i="15"/>
  <c r="E106" i="15"/>
  <c r="F40" i="12"/>
  <c r="G50" i="12"/>
  <c r="F61" i="12"/>
  <c r="E69" i="13"/>
  <c r="G61" i="12"/>
  <c r="G40" i="12"/>
  <c r="F69" i="13"/>
</calcChain>
</file>

<file path=xl/sharedStrings.xml><?xml version="1.0" encoding="utf-8"?>
<sst xmlns="http://schemas.openxmlformats.org/spreadsheetml/2006/main" count="1776" uniqueCount="847">
  <si>
    <t>Estado de Situación Financiera</t>
  </si>
  <si>
    <t>(Pesos)</t>
  </si>
  <si>
    <t>Sector:</t>
  </si>
  <si>
    <t>Fecha:</t>
  </si>
  <si>
    <t>Ente Público:</t>
  </si>
  <si>
    <t>Año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</si>
  <si>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</si>
  <si>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</si>
  <si>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</si>
  <si>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</si>
  <si>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</si>
  <si>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</si>
  <si>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</si>
  <si>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</si>
  <si>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</si>
  <si>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</si>
  <si>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</si>
  <si>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</si>
  <si>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</si>
  <si>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</si>
  <si>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</si>
  <si>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</si>
  <si>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</si>
  <si>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</si>
  <si>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Otros Pasivos a Corto Plazo</t>
  </si>
  <si>
    <t>Total de  Activos 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</si>
  <si>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</si>
  <si>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</si>
  <si>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</si>
  <si>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</si>
  <si>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</si>
  <si>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</si>
  <si>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</si>
  <si>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</si>
  <si>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</si>
  <si>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</si>
  <si>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</si>
  <si>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</si>
  <si>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Fondos y Bienes de Terceros en Garantía y/o en Administración a Largo Plazo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</si>
  <si>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</si>
  <si>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</si>
  <si>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</si>
  <si>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</si>
  <si>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</si>
  <si>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</si>
  <si>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 PASIVO</t>
  </si>
  <si>
    <t>Total de  Activos  No Circulantes</t>
  </si>
  <si>
    <t>HACIENDA PÚBLICA/ PATRIMONIO</t>
  </si>
  <si>
    <t>TOTAL DEL 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</si>
  <si>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</si>
  <si>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</si>
  <si>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</si>
  <si>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</si>
  <si>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</si>
  <si>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</si>
  <si>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</si>
  <si>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</si>
  <si>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</si>
  <si>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</si>
  <si>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</si>
  <si>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</si>
  <si>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</si>
  <si>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</si>
  <si>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TOTAL DEL  PASIVO Y HACIENDA PÚBLICA / PATRIMONIO</t>
  </si>
  <si>
    <t>Nombre:</t>
  </si>
  <si>
    <t>Cargo:</t>
  </si>
  <si>
    <t>Estado de Cambios en la Situación Financiera</t>
  </si>
  <si>
    <t>Origen</t>
  </si>
  <si>
    <t>Aplicación</t>
  </si>
  <si>
    <t>Activo</t>
  </si>
  <si>
    <t>Pasivo</t>
  </si>
  <si>
    <t>EF</t>
  </si>
  <si>
    <t>ECSF</t>
  </si>
  <si>
    <t>Edo. Financiero</t>
  </si>
  <si>
    <t>Autorizó</t>
  </si>
  <si>
    <t>Elaboró</t>
  </si>
  <si>
    <t>Concepto</t>
  </si>
  <si>
    <t>CONCEPTO</t>
  </si>
  <si>
    <t>Bajo protesta de decir verdad declaramos que los Estados Financieros y sus Notas son razonablemente correctos y responsabilidad del emisor</t>
  </si>
  <si>
    <t>Exceso o Insuficiencia en la Actualización de la Hacienda Pública/Patrimonio</t>
  </si>
  <si>
    <t>INGRESOS Y OTROS BENEFICIOS</t>
  </si>
  <si>
    <t>GASTOS Y OTRAS PÉRDIDAS</t>
  </si>
  <si>
    <t>Ingresos de la Gestión</t>
  </si>
  <si>
    <t>Gastos de  Funcionamiento</t>
  </si>
  <si>
    <t>Impuestos</t>
  </si>
  <si>
    <t xml:space="preserve">Servicios Personales  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</si>
  <si>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</si>
  <si>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</si>
  <si>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</si>
  <si>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</si>
  <si>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</si>
  <si>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Productos de Tipo Corriente</t>
  </si>
  <si>
    <t>Aprovechamientos de Tipo Corriente</t>
  </si>
  <si>
    <t>Transferencias Internas y Asignaciones al Sector Público</t>
  </si>
  <si>
    <t>Ingresos por Venta de Bienes y Servicios</t>
  </si>
  <si>
    <t>Transferencias al Resto del Sector Público</t>
  </si>
  <si>
    <t>Ingresos no Comprendidos en las Fracciones de la Ley de Ingresos Causados en Ejercicios Fiscales Anteriores Pendientes de Liquidación o Pago</t>
  </si>
  <si>
    <t>Subsidios y Subvenciones</t>
  </si>
  <si>
    <t>Ayudas Sociales</t>
  </si>
  <si>
    <t>Participaciones, Aportaciones, Transferencias, Asignaciones, Subsidios y Otras Ayudas</t>
  </si>
  <si>
    <t>Pensiones y Jubilaciones</t>
  </si>
  <si>
    <t>Participaciones y Aportaciones</t>
  </si>
  <si>
    <t>Transferencias a Fideicomisos, Mandatos y Contratos Análogos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</si>
  <si>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</si>
  <si>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</si>
  <si>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</si>
  <si>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</si>
  <si>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</si>
  <si>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</si>
  <si>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</si>
  <si>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</si>
  <si>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</si>
  <si>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</si>
  <si>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</si>
  <si>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</si>
  <si>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</si>
  <si>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</si>
  <si>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</si>
  <si>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</si>
  <si>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</si>
  <si>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</si>
  <si>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</si>
  <si>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</si>
  <si>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</si>
  <si>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</si>
  <si>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</si>
  <si>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</si>
  <si>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</si>
  <si>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</si>
  <si>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</si>
  <si>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Resultados del Ejercicio  (Ahorro/Desahorro)</t>
  </si>
  <si>
    <t>Estado de Variación en la Hacienda Pública</t>
  </si>
  <si>
    <t>(pesos)</t>
  </si>
  <si>
    <t xml:space="preserve"> </t>
  </si>
  <si>
    <t>Hacienda Pública/Patrimonio Generado de Ejercicios Anteriores</t>
  </si>
  <si>
    <t>Hacienda Pública/Patrimonio Generado del Ejercicio</t>
  </si>
  <si>
    <t>Ajustes por Cambios de Valor</t>
  </si>
  <si>
    <t>TOTAL</t>
  </si>
  <si>
    <t xml:space="preserve">Patrimonio Neto Inicial Ajustado del Ejercicio </t>
  </si>
  <si>
    <t xml:space="preserve">Aportaciones </t>
  </si>
  <si>
    <t>Actualización de la Hacienda Pública/Patrimonio</t>
  </si>
  <si>
    <t>Variaciones de la Hacienda Pública/Patrimonio Neto del Ejercicio</t>
  </si>
  <si>
    <t>Resultados del Ejercicio (Ahorro/Desahorro)</t>
  </si>
  <si>
    <t xml:space="preserve">Revalúos  </t>
  </si>
  <si>
    <t>Estado Analítico del Activo</t>
  </si>
  <si>
    <t>Saldo Inicial</t>
  </si>
  <si>
    <t>Cargos del Periodo</t>
  </si>
  <si>
    <t>Abonos del Periodo</t>
  </si>
  <si>
    <t>Saldo Final</t>
  </si>
  <si>
    <t>Variación del Periodo</t>
  </si>
  <si>
    <t>4 =(1+2-3)</t>
  </si>
  <si>
    <t>(4-1)</t>
  </si>
  <si>
    <t xml:space="preserve">Bienes Muebles </t>
  </si>
  <si>
    <t>Estado Analítico de la Deuda y Otros Pasivos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</si>
  <si>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</si>
  <si>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</si>
  <si>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</si>
  <si>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</si>
  <si>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</si>
  <si>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</si>
  <si>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</si>
  <si>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</si>
  <si>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</si>
  <si>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</si>
  <si>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</si>
  <si>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</si>
  <si>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</si>
  <si>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</si>
  <si>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</si>
  <si>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</si>
  <si>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</si>
  <si>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</si>
  <si>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</si>
  <si>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Estado de Flujos de Efectivo</t>
  </si>
  <si>
    <t>Flujos de Efectivo de las Actividades de Gestión</t>
  </si>
  <si>
    <t xml:space="preserve">Flujos de Efectivo de las Actividades de Inversión </t>
  </si>
  <si>
    <t>Contribuciones de mejoras</t>
  </si>
  <si>
    <t>Flujos Netos de Efectivo por Actividades de Inversión</t>
  </si>
  <si>
    <t>Flujo de Efectivo de las Actividades de Financiamiento</t>
  </si>
  <si>
    <t>Servicios Personales</t>
  </si>
  <si>
    <t>Endeudamiento Neto</t>
  </si>
  <si>
    <t xml:space="preserve">   Interno</t>
  </si>
  <si>
    <t>Transferencias al resto del Sector Público</t>
  </si>
  <si>
    <t xml:space="preserve">   Externo</t>
  </si>
  <si>
    <t xml:space="preserve">Subsidios y Subvenciones </t>
  </si>
  <si>
    <t>Servicios de la Deuda</t>
  </si>
  <si>
    <t xml:space="preserve">Participaciones </t>
  </si>
  <si>
    <t>Flujos netos de Efectivo por Actividades de Financiamiento</t>
  </si>
  <si>
    <t>Flujos Netos de Efectivo por Actividades de Operación</t>
  </si>
  <si>
    <t xml:space="preserve">Incremento/Disminución Neta en el Efectivo y Equivalentes al Efectivo </t>
  </si>
  <si>
    <t>Total del  Pasivo</t>
  </si>
  <si>
    <t>Total del Activo</t>
  </si>
  <si>
    <t>Total del  Pasivo y Hacienda Pública / Patrimonio</t>
  </si>
  <si>
    <t>Transferencia, Asignaciones, Subsidios y Otras ayudas</t>
  </si>
  <si>
    <t>Transferencia, Asignaciones, Subsidios y Otras Ayudas</t>
  </si>
  <si>
    <t>Aumento por Insuficiencia de Estimaciones por Pérdida o Deterioro y Obsolescencia</t>
  </si>
  <si>
    <t>Cuotas y Aportaciones de Seguridad Social</t>
  </si>
  <si>
    <t>Transferencias, Asignaciones y Subsidios y Otras Ayudas</t>
  </si>
  <si>
    <t>Otros Orígenes de Operación</t>
  </si>
  <si>
    <t>Otras Aplicaciones de Operación</t>
  </si>
  <si>
    <t xml:space="preserve">Otros Orígenes de Inversión </t>
  </si>
  <si>
    <t>Otras Aplicaciones de Inversión</t>
  </si>
  <si>
    <t xml:space="preserve">   Otras Aplicaciones de Financiamiento</t>
  </si>
  <si>
    <t xml:space="preserve">   Otros Orígenes de Financiamiento</t>
  </si>
  <si>
    <t>Estado Analítico de Ingresos</t>
  </si>
  <si>
    <t>Rubro de Ingresos</t>
  </si>
  <si>
    <t>Ingreso</t>
  </si>
  <si>
    <t>Diferencia</t>
  </si>
  <si>
    <t>Estimado</t>
  </si>
  <si>
    <t>Ampliaciones y Reducciones</t>
  </si>
  <si>
    <t>Modificado</t>
  </si>
  <si>
    <t>Devengado</t>
  </si>
  <si>
    <t>Recaudado</t>
  </si>
  <si>
    <t>(1)</t>
  </si>
  <si>
    <t>(2)</t>
  </si>
  <si>
    <t>(3= 1 + 2)</t>
  </si>
  <si>
    <t>(4)</t>
  </si>
  <si>
    <t>(5)</t>
  </si>
  <si>
    <t>Productos</t>
  </si>
  <si>
    <t>Corriente</t>
  </si>
  <si>
    <t>Capital</t>
  </si>
  <si>
    <t>Aprovechamientos</t>
  </si>
  <si>
    <t>Ingresos por Ventas de Bienes y Servicios</t>
  </si>
  <si>
    <t>Transferencias, Asignaciones, Subsidios y Otras Ayudas</t>
  </si>
  <si>
    <t>Ingresos Derivados de Financiamientos</t>
  </si>
  <si>
    <t>Total</t>
  </si>
  <si>
    <t>Estado Analítico de Ingresos
Por Fuente de Financiamiento</t>
  </si>
  <si>
    <t>Ingresos del Gobierno</t>
  </si>
  <si>
    <t>Ingresos de Organismos y Empresas</t>
  </si>
  <si>
    <t>Ingresos derivados de financiamiento</t>
  </si>
  <si>
    <t>(6 = 5 - 1 )</t>
  </si>
  <si>
    <t>Estado Analítico del Ejercicio del Presupuesto de Egresos</t>
  </si>
  <si>
    <t>Clasificación Administrativa</t>
  </si>
  <si>
    <t>Egresos</t>
  </si>
  <si>
    <t>Subejercicio</t>
  </si>
  <si>
    <t>Aprobado</t>
  </si>
  <si>
    <t>Ampliaciones/ (Reducciones)</t>
  </si>
  <si>
    <t>Pagado</t>
  </si>
  <si>
    <t>3 = (1 + 2 )</t>
  </si>
  <si>
    <t>6 = ( 3 - 4 )</t>
  </si>
  <si>
    <t>Total del Gasto</t>
  </si>
  <si>
    <t>Clasificación Económica (por Tipo de Gasto)</t>
  </si>
  <si>
    <t xml:space="preserve">Egresos </t>
  </si>
  <si>
    <t>Gasto Corriente</t>
  </si>
  <si>
    <t>Gasto de Capital</t>
  </si>
  <si>
    <t>Amortización de la Deuda y Disminución de Pasivos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</si>
  <si>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</si>
  <si>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</si>
  <si>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</si>
  <si>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</si>
  <si>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</si>
  <si>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</si>
  <si>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</si>
  <si>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</si>
  <si>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</si>
  <si>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</si>
  <si>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</si>
  <si>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</si>
  <si>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</si>
  <si>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</si>
  <si>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</si>
  <si>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</si>
  <si>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</si>
  <si>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</si>
  <si>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</si>
  <si>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</si>
  <si>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</si>
  <si>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Publicidad.</t>
  </si>
  <si>
    <t>Servicios de Traslado y Viáticos</t>
  </si>
  <si>
    <t>Servicios Oficiales</t>
  </si>
  <si>
    <t>Otros Servicios Generales</t>
  </si>
  <si>
    <t>Transferencias a Fideicomisos, Mandatos y Otros Análogos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</si>
  <si>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</si>
  <si>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</si>
  <si>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</si>
  <si>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</si>
  <si>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</si>
  <si>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</si>
  <si>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</si>
  <si>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</si>
  <si>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</si>
  <si>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</si>
  <si>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</si>
  <si>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</si>
  <si>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</si>
  <si>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Productivas.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</si>
  <si>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</si>
  <si>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</si>
  <si>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</si>
  <si>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</si>
  <si>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</si>
  <si>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</si>
  <si>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Deuda Pública</t>
  </si>
  <si>
    <t>Amortización de la Deuda Pública</t>
  </si>
  <si>
    <t>Adeudos de Ejercicios Fiscales Anteriores (Adefas)</t>
  </si>
  <si>
    <t>Clasificación Funcional (Finalidad y Función)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</si>
  <si>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</si>
  <si>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</si>
  <si>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</si>
  <si>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</si>
  <si>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</si>
  <si>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</si>
  <si>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</si>
  <si>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</si>
  <si>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</si>
  <si>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</si>
  <si>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</si>
  <si>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</si>
  <si>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</si>
  <si>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</si>
  <si>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</si>
  <si>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</si>
  <si>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</si>
  <si>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</si>
  <si>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</si>
  <si>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</si>
  <si>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</si>
  <si>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</si>
  <si>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</si>
  <si>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</si>
  <si>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</si>
  <si>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</si>
  <si>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</si>
  <si>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</si>
  <si>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</si>
  <si>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</si>
  <si>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</si>
  <si>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Identificación de Crédito o Instrumento</t>
  </si>
  <si>
    <t>Contratación / Colocación</t>
  </si>
  <si>
    <t>Amortización</t>
  </si>
  <si>
    <t xml:space="preserve">Endeudamiento Neto </t>
  </si>
  <si>
    <t>A</t>
  </si>
  <si>
    <t>B</t>
  </si>
  <si>
    <t>C = A - B</t>
  </si>
  <si>
    <t>Créditos Bancarios</t>
  </si>
  <si>
    <t>Total Créditos Bancarios</t>
  </si>
  <si>
    <t>Otros Instrumentos de Deuda</t>
  </si>
  <si>
    <t>Total Otros Instrumentos de Deuda</t>
  </si>
  <si>
    <t>Intereses de la Deuda</t>
  </si>
  <si>
    <t>Total de Intereses de Créditos Bancarios</t>
  </si>
  <si>
    <t>Total de Intereses de Otros Instrumentos de Deuda</t>
  </si>
  <si>
    <t>Gasto por Categoría Programática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</si>
  <si>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</si>
  <si>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</si>
  <si>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</si>
  <si>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</si>
  <si>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</si>
  <si>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</si>
  <si>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</si>
  <si>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</si>
  <si>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</si>
  <si>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</si>
  <si>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</si>
  <si>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</si>
  <si>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</si>
  <si>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</si>
  <si>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</si>
  <si>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</si>
  <si>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</si>
  <si>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</si>
  <si>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</si>
  <si>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</si>
  <si>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</si>
  <si>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</si>
  <si>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</si>
  <si>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</si>
  <si>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</si>
  <si>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</si>
  <si>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</si>
  <si>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</si>
  <si>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</si>
  <si>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</si>
  <si>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Indicadores de Postura Fiscal</t>
  </si>
  <si>
    <t>I. Ingresos Presupuestarios (I=1+2)</t>
  </si>
  <si>
    <t>II. Egresos Presupuestarios (II=3+4)</t>
  </si>
  <si>
    <t xml:space="preserve">  III. Balance Presupuestario (Superávit o Déficit) (III = I - II)</t>
  </si>
  <si>
    <t xml:space="preserve">     III. Balance presupuestario (Superávit o Déficit)</t>
  </si>
  <si>
    <t xml:space="preserve">    IV. Intereses, Comisiones y Gastos de la Deuda</t>
  </si>
  <si>
    <t xml:space="preserve"> V. Balance Primario ( Superávit o Déficit) (V= III - IV)</t>
  </si>
  <si>
    <t xml:space="preserve">    A. Financiamiento</t>
  </si>
  <si>
    <t xml:space="preserve">    B.  Amortización de la deuda</t>
  </si>
  <si>
    <t>C. Endeudamiento ó desendeudamiento (C = A - B)</t>
  </si>
  <si>
    <t>3 Para Ingresos se reportan los ingresos recaudados; para egresos se reportan los egresos pagados</t>
  </si>
  <si>
    <t>Relación de cuentas bancarias productivas específicas</t>
  </si>
  <si>
    <t>Fondo, Programa o Convenio</t>
  </si>
  <si>
    <t>Datos de la Cuenta Bancaria</t>
  </si>
  <si>
    <t>Institución Bancaria</t>
  </si>
  <si>
    <t>Número de Cuenta</t>
  </si>
  <si>
    <t xml:space="preserve">SECRETARIA DE FINANZAS </t>
  </si>
  <si>
    <t>SECRETARIA DE FINANZAS</t>
  </si>
  <si>
    <t>Municipio o Entidad</t>
  </si>
  <si>
    <t>Avales a Municipios</t>
  </si>
  <si>
    <t xml:space="preserve">Deuda Interna </t>
  </si>
  <si>
    <t>Municipio o Entidad :</t>
  </si>
  <si>
    <t>Acuña</t>
  </si>
  <si>
    <t>Informes sobre Pasivos Contingentes</t>
  </si>
  <si>
    <t>Clasificación por Objeto del Gasto (Capítulo y Concepto)</t>
  </si>
  <si>
    <r>
      <t xml:space="preserve">Pagado </t>
    </r>
    <r>
      <rPr>
        <b/>
        <vertAlign val="superscript"/>
        <sz val="11"/>
        <color theme="0"/>
        <rFont val="Arial"/>
        <family val="2"/>
      </rPr>
      <t>3</t>
    </r>
  </si>
  <si>
    <r>
      <t xml:space="preserve">     1. Ingresos del Gobierno de la Entidad Federativa </t>
    </r>
    <r>
      <rPr>
        <b/>
        <vertAlign val="superscript"/>
        <sz val="11"/>
        <color theme="1"/>
        <rFont val="Arial"/>
        <family val="2"/>
      </rPr>
      <t>1</t>
    </r>
  </si>
  <si>
    <r>
      <t xml:space="preserve">     2. Ingresos del Sector Paraestatal </t>
    </r>
    <r>
      <rPr>
        <b/>
        <vertAlign val="superscript"/>
        <sz val="11"/>
        <color theme="1"/>
        <rFont val="Arial"/>
        <family val="2"/>
      </rPr>
      <t>1</t>
    </r>
  </si>
  <si>
    <r>
      <t xml:space="preserve">        3. Egresos del Gobierno de la Entidad Federativa </t>
    </r>
    <r>
      <rPr>
        <b/>
        <vertAlign val="superscript"/>
        <sz val="11"/>
        <color theme="1"/>
        <rFont val="Arial"/>
        <family val="2"/>
      </rPr>
      <t>2</t>
    </r>
  </si>
  <si>
    <r>
      <t xml:space="preserve">          4. Egresos del Sector Paraestatal </t>
    </r>
    <r>
      <rPr>
        <b/>
        <vertAlign val="superscript"/>
        <sz val="11"/>
        <color theme="1"/>
        <rFont val="Arial"/>
        <family val="2"/>
      </rPr>
      <t>2</t>
    </r>
  </si>
  <si>
    <t>Secretario de Finanzas</t>
  </si>
  <si>
    <t>ING.  ISMAEL E. RAMOS FLORES</t>
  </si>
  <si>
    <t>Pesos</t>
  </si>
  <si>
    <t>BBVA BANCOMER</t>
  </si>
  <si>
    <t>MULTIVA</t>
  </si>
  <si>
    <t>HSBC</t>
  </si>
  <si>
    <t>BANORTE</t>
  </si>
  <si>
    <t>BANCO DEL BAJIO</t>
  </si>
  <si>
    <t>BANOBRAS</t>
  </si>
  <si>
    <t>BANCO INTERACCIONES</t>
  </si>
  <si>
    <t>SANTANDER SERFIN</t>
  </si>
  <si>
    <t>Castaños</t>
  </si>
  <si>
    <t>Francisco I Madero</t>
  </si>
  <si>
    <t>Frontera</t>
  </si>
  <si>
    <t>Monclova</t>
  </si>
  <si>
    <t>Banobras</t>
  </si>
  <si>
    <t>Otros Avales</t>
  </si>
  <si>
    <t>SIMAS Parras</t>
  </si>
  <si>
    <t>SIMAS Acuña</t>
  </si>
  <si>
    <t>SIMAS Piedras Negras</t>
  </si>
  <si>
    <t>Bancomer</t>
  </si>
  <si>
    <t>Cofidan</t>
  </si>
  <si>
    <t>Otros Valores</t>
  </si>
  <si>
    <t>Banobras Cupon Cero</t>
  </si>
  <si>
    <t>CONGRESO DEL ESTADO</t>
  </si>
  <si>
    <t>CONTADURIA MAYOR</t>
  </si>
  <si>
    <t>TRIBUNAL SUPERIOR DE JUSTICIA</t>
  </si>
  <si>
    <t>OFICINAS DEL EJECUTIVO</t>
  </si>
  <si>
    <t>SECRETARIA DE GOBIERNO</t>
  </si>
  <si>
    <t>SECRETARIA DE FOMENTO ECONOMICO</t>
  </si>
  <si>
    <t>SECRETARIA DE EDUCACION</t>
  </si>
  <si>
    <t>SECRETARIA DE DESARROLLO SOCIAL</t>
  </si>
  <si>
    <t>SECRETARIA DE SEGURIDAD PUBLICA</t>
  </si>
  <si>
    <t>SECRETARIA DE SALUD</t>
  </si>
  <si>
    <t>SECRETARIA DE INFRAESTRUCTURA</t>
  </si>
  <si>
    <t>SECRETARIA DE FOMENTO AGROPECUARIO</t>
  </si>
  <si>
    <t>SECRETARIA DE FISCALIZACIÓN Y RENDICIÓN DE CUENTAS</t>
  </si>
  <si>
    <t>PROCURADURIA GENERAL DE JUSTICIA DEL ESTADO</t>
  </si>
  <si>
    <t>REPRESENTACION DEL GOBIERNO DEL ESTADO EN MEXICO,</t>
  </si>
  <si>
    <t>SECRETARIA DE MEDIO AMBIENTE Y RECURSOS NATURALES</t>
  </si>
  <si>
    <t>SECRETARIA DE TURISMO</t>
  </si>
  <si>
    <t>SECRETARIA DE CULTURA</t>
  </si>
  <si>
    <t>SRIA DE GESTION URBANA Y ORDENAMIENTO TERRITORIAL</t>
  </si>
  <si>
    <t>SECRETARIA DEL TRABAJO</t>
  </si>
  <si>
    <t>SECRETARIA DE LA JUVENTUD</t>
  </si>
  <si>
    <t>SECRETARIA DE LA MUJER</t>
  </si>
  <si>
    <t>PROCURADURIA PARA NIÑOS, NIÑAS Y LA FAMILIA COAHUI</t>
  </si>
  <si>
    <t>PARTICIPACIONES MUNICIPALES</t>
  </si>
  <si>
    <t>SISTEMA PARA EL DESARROLLO INTEGRAL DE LA FAMILIA</t>
  </si>
  <si>
    <t>DIRECCION DE PENSIONES BUROCRATAS</t>
  </si>
  <si>
    <t>INSTITUTO ESTATAL DEL DEPORTE DE COAHUILA</t>
  </si>
  <si>
    <t>INSTITUTO COAHUILENSE DEL CATASTRO</t>
  </si>
  <si>
    <t>C.E.R.T.T.U.R.C.</t>
  </si>
  <si>
    <t>INSTITUTO ESTATAL PARA LA CONSTRUCCION DE ESCUELAS</t>
  </si>
  <si>
    <t>SERVICIOS DE SALUD DE COAHUILA</t>
  </si>
  <si>
    <t>COECYT</t>
  </si>
  <si>
    <t>COLEGIO DE EDUCACION PROFESIONAL TECNICA</t>
  </si>
  <si>
    <t>COMISION ESTATAL DE AGUAS Y SANEAMIENTO DE COAH.</t>
  </si>
  <si>
    <t>INSTITUTO COAHUILENSE DE ADULTOS MAYORES</t>
  </si>
  <si>
    <t>PROMOTORA PARA EL DESARROLLO RURAL</t>
  </si>
  <si>
    <t>COMISION ESTATAL DE LA VIVIENDA</t>
  </si>
  <si>
    <t>INTS. SERV. DE SALUD REHABILT. Y EDUC. ESP. E INTE</t>
  </si>
  <si>
    <t>SERVICIO DE LA DEUDA</t>
  </si>
  <si>
    <t>INSTITUTO COAHUILENSE DE ACCESO A LA INFORMACION</t>
  </si>
  <si>
    <t>COMISION ESTATAL  DE DERECHOS HUMANOS</t>
  </si>
  <si>
    <t>COMISION COAH. DE CONCILIACION Y ARBITRAJE MEDICO</t>
  </si>
  <si>
    <t>Efectivo y Equivalente al Efectivo al Final del Ejercicio</t>
  </si>
  <si>
    <t>Efectivo y Equivalente al Efectivo al Inicio del Ejercicio</t>
  </si>
  <si>
    <t>1 Los Ingresos que se presentan son los ingresos presupuestario totales sin incluir los ingresos por financiamientos. Los Ingresos del Gobierno de la Entidad Federativa corresponden a los del Poder Ejecutivo.</t>
  </si>
  <si>
    <t>Ingresos excedentes</t>
  </si>
  <si>
    <t>CENTRO DE JUSTICIA P/LAS MUJERES SALTILLO</t>
  </si>
  <si>
    <t>COMISION EJECUTIVA ATENCION A VICTIMAS</t>
  </si>
  <si>
    <t>LIC. EDGAR JULIAN MONTOYA DE LA ROSA</t>
  </si>
  <si>
    <t>Subsecretario de Egresos y Administración</t>
  </si>
  <si>
    <t>Pasivo Laboral por Aplicar</t>
  </si>
  <si>
    <t>Municipio</t>
  </si>
  <si>
    <t>T  O  T  A  L</t>
  </si>
  <si>
    <t xml:space="preserve">  Zaragoza </t>
  </si>
  <si>
    <t xml:space="preserve">  Villa Unión </t>
  </si>
  <si>
    <t xml:space="preserve">  Viesca </t>
  </si>
  <si>
    <t xml:space="preserve">  Torreón </t>
  </si>
  <si>
    <t xml:space="preserve">  Sierra Mojada </t>
  </si>
  <si>
    <t xml:space="preserve">  San Pedro </t>
  </si>
  <si>
    <t xml:space="preserve">  San Juan de Sabinas </t>
  </si>
  <si>
    <t xml:space="preserve">  San Buenaventura </t>
  </si>
  <si>
    <t xml:space="preserve">  Saltillo</t>
  </si>
  <si>
    <t xml:space="preserve">  Sacramento </t>
  </si>
  <si>
    <t xml:space="preserve">  Sabinas </t>
  </si>
  <si>
    <t xml:space="preserve">  Ramos Arizpe </t>
  </si>
  <si>
    <t xml:space="preserve">  Progreso </t>
  </si>
  <si>
    <t xml:space="preserve">  Piedras Negras </t>
  </si>
  <si>
    <t xml:space="preserve">  Parras </t>
  </si>
  <si>
    <t xml:space="preserve">  Ocampo</t>
  </si>
  <si>
    <t xml:space="preserve">  Nava</t>
  </si>
  <si>
    <t xml:space="preserve">  Nadadores </t>
  </si>
  <si>
    <t xml:space="preserve">  Múzquiz </t>
  </si>
  <si>
    <t xml:space="preserve">  Morelos </t>
  </si>
  <si>
    <t xml:space="preserve">  Monclova </t>
  </si>
  <si>
    <t xml:space="preserve">  Matamoros </t>
  </si>
  <si>
    <t xml:space="preserve">  Lamadrid </t>
  </si>
  <si>
    <t xml:space="preserve">  Juárez</t>
  </si>
  <si>
    <t xml:space="preserve">  Jiménez </t>
  </si>
  <si>
    <t xml:space="preserve">  Hidalgo </t>
  </si>
  <si>
    <t xml:space="preserve">  Guerrero</t>
  </si>
  <si>
    <t xml:space="preserve">  General Escobedo </t>
  </si>
  <si>
    <t xml:space="preserve">  General Cepeda </t>
  </si>
  <si>
    <t xml:space="preserve">  Cd. Frontera </t>
  </si>
  <si>
    <t xml:space="preserve">  Francisco I. Madero </t>
  </si>
  <si>
    <t xml:space="preserve">  Cuatro Ciénegas</t>
  </si>
  <si>
    <t xml:space="preserve">  Castaños </t>
  </si>
  <si>
    <t xml:space="preserve">  Candela </t>
  </si>
  <si>
    <t xml:space="preserve">  Arteaga </t>
  </si>
  <si>
    <t xml:space="preserve">  Allende </t>
  </si>
  <si>
    <t xml:space="preserve">  Acuña </t>
  </si>
  <si>
    <t xml:space="preserve">  Abasolo</t>
  </si>
  <si>
    <t>Importe</t>
  </si>
  <si>
    <t>2 Los egresos que se presentan son los egresos presupuestarios totales sin incluir los egresos por amortización. Los egresos del Gobierno de la Entidad Federativa corresponden a los del Poder Ejecutivo mas los transferidos a los poderes  Legislativo, Judicial y Órganos Autónomos</t>
  </si>
  <si>
    <t>¹ Los ingresos excedentes se presentan para efectos de cumplimiento de la Ley General de Contabilidad Gubernamental y el importe reflejado debe ser siempre mayor a cero</t>
  </si>
  <si>
    <t>PRODEMI 744817</t>
  </si>
  <si>
    <t>RADIO Y TELEVISION</t>
  </si>
  <si>
    <t>REGIMEN ESTATAL DE PROTECCION SOCIAL EN SALUD</t>
  </si>
  <si>
    <t>INSTITUTO ELECTORAL DE COAHUILA</t>
  </si>
  <si>
    <r>
      <rPr>
        <b/>
        <sz val="16"/>
        <color theme="1"/>
        <rFont val="Arial"/>
        <family val="2"/>
      </rPr>
      <t>Anexo</t>
    </r>
    <r>
      <rPr>
        <b/>
        <sz val="11"/>
        <color theme="1"/>
        <rFont val="Arial"/>
        <family val="2"/>
      </rPr>
      <t xml:space="preserve">   </t>
    </r>
    <r>
      <rPr>
        <b/>
        <sz val="12"/>
        <color theme="1"/>
        <rFont val="Arial"/>
        <family val="2"/>
      </rPr>
      <t xml:space="preserve">Estado Analítico de Ingresos </t>
    </r>
  </si>
  <si>
    <t>Impuesto Sobre Nomina</t>
  </si>
  <si>
    <t>Impuesto Sobre Tenencia o Uso Vehicular</t>
  </si>
  <si>
    <t>Impuesto Sobre Enajenacion</t>
  </si>
  <si>
    <t>Impuesto Sobre Hospedaje</t>
  </si>
  <si>
    <t>Impuesto Sobre Remediacion Mat. Petreos</t>
  </si>
  <si>
    <t>Impuesto Sobre Registro Publico de la Propiedad</t>
  </si>
  <si>
    <t>Impuesto Sobre Diversiones y Espectaculos</t>
  </si>
  <si>
    <t>Impuesto sobre Loterias</t>
  </si>
  <si>
    <t>Para el Fomento a la Educación y de la Seguridad Pública</t>
  </si>
  <si>
    <t>Centro Historico</t>
  </si>
  <si>
    <t xml:space="preserve">Responsabilidad Objetiva </t>
  </si>
  <si>
    <t xml:space="preserve">Cooperaciones </t>
  </si>
  <si>
    <t>Aportación Beneficiarios</t>
  </si>
  <si>
    <t>Derechos de Control Vehicular</t>
  </si>
  <si>
    <t>Derechos de Beneficiarios de Minerales</t>
  </si>
  <si>
    <t>Derechos de Regsitro Publico de la Propiedad</t>
  </si>
  <si>
    <t>Derechos de Licencias y Permisos para Manejar</t>
  </si>
  <si>
    <t>Derechos de Registro Civil</t>
  </si>
  <si>
    <t>Derechos de Lic Establecimientos Bebidas Alcoholicas</t>
  </si>
  <si>
    <t>Derechos (Otros)</t>
  </si>
  <si>
    <t>Productos de Reditos de Capitales y Valores</t>
  </si>
  <si>
    <t>Otros Productos</t>
  </si>
  <si>
    <t>Aprovechamientos de tipo Corriente</t>
  </si>
  <si>
    <t>Ingresos Coordinados Hacendarios</t>
  </si>
  <si>
    <t>Impuesto sobre la Renta (ISR)</t>
  </si>
  <si>
    <t>Impuesto Regimen Intermedio</t>
  </si>
  <si>
    <t>Impuesto Enajenación de Bienes Inmuebles</t>
  </si>
  <si>
    <t>Impuesto Especial Sobre Produccion y Servicios</t>
  </si>
  <si>
    <t>Impuesto al Valor Agregado</t>
  </si>
  <si>
    <t>Impuesto al Activo</t>
  </si>
  <si>
    <t>Impuesto Sobre Autos Nuevos</t>
  </si>
  <si>
    <t>Impuesto General de Importacion</t>
  </si>
  <si>
    <t>Impuestos Repecos</t>
  </si>
  <si>
    <t>Impuestos Sobre Tenencia Federal</t>
  </si>
  <si>
    <t>Semarnat</t>
  </si>
  <si>
    <t>Multas no Fiscales</t>
  </si>
  <si>
    <t>Multas Entidades Federativas</t>
  </si>
  <si>
    <t>Gastos de Ejecucion</t>
  </si>
  <si>
    <t>Fondo General de Participaciones</t>
  </si>
  <si>
    <t xml:space="preserve">IEPS Consumo de Cerveza Bebidas y Tabaco </t>
  </si>
  <si>
    <t>Fondo de Fomento Municipal</t>
  </si>
  <si>
    <t>Fondo de Fiscalización</t>
  </si>
  <si>
    <t>Fiscalizacion Conjunta</t>
  </si>
  <si>
    <t xml:space="preserve">Fondo de Compensación ISAN </t>
  </si>
  <si>
    <t>Fondo de Compensacion Participables</t>
  </si>
  <si>
    <t>Fondo Minero y de Compensación de Repecos</t>
  </si>
  <si>
    <t>Fondo de Extraccion de Hidrocarburos</t>
  </si>
  <si>
    <t>Fondo para Ent. Y Mpios Productores de Hidrocarburos</t>
  </si>
  <si>
    <t>Fondo para la Nomina (FONE )</t>
  </si>
  <si>
    <t>Servicios de Salud (FASSA)</t>
  </si>
  <si>
    <t>Fortalecimientos a Municipios (FORTAMUN)</t>
  </si>
  <si>
    <t>Aportaciones Múltiples (FAM) Asistencia Social</t>
  </si>
  <si>
    <t>Aportaciones Múltiples (FAM) Educación Básica</t>
  </si>
  <si>
    <t>Aportaciones Múltiples (FAM) Ed. Media y Superior</t>
  </si>
  <si>
    <t>Educación Tecnológicas y de Adultos (FAETA)</t>
  </si>
  <si>
    <t>Seguridad Pública (FASP)</t>
  </si>
  <si>
    <t>Fortalecimiento a las Entidades Federativas (FAFEF)</t>
  </si>
  <si>
    <t>Otros Convenios</t>
  </si>
  <si>
    <t>CECITEC</t>
  </si>
  <si>
    <t>RAMO 11 GASTOS DE OPERACION 2013 COBAC</t>
  </si>
  <si>
    <t>PROGRAMA CAMINOS PUENTES FED PIEDRAS NEGRAS 2015</t>
  </si>
  <si>
    <t>PROGRAMA CAMINOS Y PUENTES FEDERALES ACUÑA 2015</t>
  </si>
  <si>
    <t>IMPLEMENTACION DE LA REFORMA DEL SISTEMA DE JUSTICIA PENAL 2016.</t>
  </si>
  <si>
    <t>REG EST PROTECCION SOCIAL (REPSS CUOTA SOCIAL 2015</t>
  </si>
  <si>
    <t>FORTALECIMIENTO DE ACCIONES DE SALUD PUBLICA EN ENTIDADES FED 2016 (AFASPE 2016).</t>
  </si>
  <si>
    <t>FONDO DE APORTACIONES PARA LOS SERVICIOS DE SALUD A LA COMUNIDAD (FASSC 2016).</t>
  </si>
  <si>
    <t>REGIMEN ESTATAL DE PROTECCION SOCIAL 2016 (REPSS CUOTA SOCIAL 2016).</t>
  </si>
  <si>
    <t>UNIVERSIDAD AUTONOMA DE COAH. (SUBS. FEDERAL)</t>
  </si>
  <si>
    <t>INST. DE CAPACITACION P/TRABAJO DEL EDO. COAH.</t>
  </si>
  <si>
    <t>APOYO FINANCIERO TELEBACHILLERATO COMUNITARIO 2013</t>
  </si>
  <si>
    <t>FIDEICOMISO PUENTE INTERNACIONAL II PIEDRAS NEGRAS</t>
  </si>
  <si>
    <t>APOYOS FINANCIEROS SERV. NAC DE EMPLEO COAHUILA</t>
  </si>
  <si>
    <t>AFILIATE 2015</t>
  </si>
  <si>
    <t>PROGRAMA DE LA REFORMA EDUCATIVA 2015</t>
  </si>
  <si>
    <t>SITEMATIZACION Y AUTOMATIZACION PERMISO CONSTRUCCION MATAMOROS (FEDERAL) 2015.</t>
  </si>
  <si>
    <t>SISTEMATIZACION Y AUTOMATIZACION PERMISO CONSTRUCC</t>
  </si>
  <si>
    <t>CONVENIO MUNICIPAL DE HIDROCARBUROS 2015 MUNICIPIO</t>
  </si>
  <si>
    <t>CONVENIO MUNICIPAL DE HIDROCARBUROS 2015, MUNICIPI</t>
  </si>
  <si>
    <t>CONVENIO MUNICIPAL DE HIDROCARBUROS 2105, MUNICIPI</t>
  </si>
  <si>
    <t>MEXICO CULTURA PARA ARMONIA 2015</t>
  </si>
  <si>
    <t>CONTINGENCIAS CIUDAD PIEDRAS NEGRAS, COAHUILA 2015</t>
  </si>
  <si>
    <t>PROGRAMA SEGURO MEDICO SIGLO XXI 2016</t>
  </si>
  <si>
    <t>FORTALECIMIENTO FINANCIERO 2016</t>
  </si>
  <si>
    <t>PROGRAMA ESCUELAS DE TIEMPO COMPLETO 2016</t>
  </si>
  <si>
    <t>CONVENIO DE COORDINACION PARA EL SUBSIDIO EN MATERIA DE FORTALECIMIENTO TURISTICO.</t>
  </si>
  <si>
    <t>MANEJO DE RESIDUOS ELECTRONICOS EN ACUNA, PIEDRAS NEGRAS, GUERRERO 2016.</t>
  </si>
  <si>
    <t>INGRESO POR NOMINAS SEGURIDAD ESTATAL</t>
  </si>
  <si>
    <t>PROGRAMA FORTALECIMIENTO A LA TRANSVERSALIDAD DE LA PRESPECTIVA DE GENERO 2016.</t>
  </si>
  <si>
    <t>Fideicomiso para Infraestructura en los Estados Fies</t>
  </si>
  <si>
    <t>INGRESOS POR REINTEGROS PRESUPUESTALES</t>
  </si>
  <si>
    <t>COLEGIO BACHILLERES COAHUILA 2016</t>
  </si>
  <si>
    <t>SERVICIO EDUCATIVO DENOMINADO TELEBACHILLERATO COMUNITARIO 91 (2016)</t>
  </si>
  <si>
    <t>SERVICIO EDUCATIVO DENOMINADO TELEBACHILLERATO COMUNITARIO 64 (2016)</t>
  </si>
  <si>
    <t>PROSPERA PROGRAMA DE LA INCLUSION SOCIAL 2016</t>
  </si>
  <si>
    <t>E025-PROGRAMA DE PREVENCION Y TRATAMIENTO DE ADICCIONES 2016</t>
  </si>
  <si>
    <t>FORTASEG 2016</t>
  </si>
  <si>
    <t>CONVENIO DE COORDINACION PARA EL OTORGAMIENTO DE UN SUBSIDIO EN MATERIA DE DESARROLLO DE DESTINOS TURÍSTICOS DIVERSIFICADOS</t>
  </si>
  <si>
    <t>CONVENIO DE COORDINACIÓN PARA EL SUBSIDIO EN MATERIA DE FORTALECIMEITNO TURÍSTICO</t>
  </si>
  <si>
    <t>SUB PROGRAMA COMUNIDAD DIFERENTE 2016</t>
  </si>
  <si>
    <t>SUB PROGRAMA INFRAESTRUCTURA, REHABILITACION Y/O EQUIPAMIENTO DE ESPACIOS ALIMENTARIOS 2016</t>
  </si>
  <si>
    <t>OCRB PROAGUA APAUR 2016</t>
  </si>
  <si>
    <t>OCRB PROAGUA APARURAL 2016</t>
  </si>
  <si>
    <t>OCRB PROAGUA AAL 2016</t>
  </si>
  <si>
    <t>OCRB PROSAN 2016</t>
  </si>
  <si>
    <t>ORGANISMO CUENCA CUENCAS CENTRALES DEL NORTE PROAGUA APARTADO URBANO 2016</t>
  </si>
  <si>
    <t>ORGANISMO CUENCA CUENCAS CENTRALES DEL NORTE PROAGUA APARTADO RURAL 2016</t>
  </si>
  <si>
    <t>ORGANISMO CUENCA CUENCAS CENTRALES DEL NORTE PROAGUA APARTADO AGUA LIMPIA 2016</t>
  </si>
  <si>
    <t>ORGANISMO CUENCA CUENCAS CENTRALES DEL NORTE PROASAN INFRAESTRUCTURA 2016</t>
  </si>
  <si>
    <t>INCENDIOS FORESTALES 2016</t>
  </si>
  <si>
    <t>PROYECTOS DE DESARROLLO REGIONAL 2016</t>
  </si>
  <si>
    <t>S267 PROGRAMA DE FORTALECIMIENTO DE LA CALIDAD EDUACTIVA (PACTEN) 2016</t>
  </si>
  <si>
    <t>FORTALECIMIENTO DEL CENTRO DE JUSTICIA PARA LAS MUJERES EN TORREON (ESTANCIA INFANTIL) 2016</t>
  </si>
  <si>
    <t>FORTALECIMIENTO DEL CENTRO DE JUSTICIA PARA LAS MUJERES EN FRONTERA (ESTANCIA INFANTIL) 2016</t>
  </si>
  <si>
    <t>IMPLEMENTACION DE LA REFORMA DEL SISTEMA DE JUSTICIA PENAL 2016</t>
  </si>
  <si>
    <t>FONDO ZONA METROPOLITANA DE MONCLOVA – FRONTERA 2016</t>
  </si>
  <si>
    <t>FONDO ZONA METROPOLITANA DE PIEDRAS NEGRAS 2016</t>
  </si>
  <si>
    <t>FONDO ZONA METROPOLITANA DE LA LAGUNA 2016</t>
  </si>
  <si>
    <t>FONDO ZONA METROPOLITANA DE SALTILLO 2016</t>
  </si>
  <si>
    <t>FONDO DE APORTACIONES A LA SEGURIDAD PUBLICA DE LOS ESTADOS Y DEL DISTRITO FEDERAL 2016 (FASP ESTATAL 2016)</t>
  </si>
  <si>
    <t>PROGRAMA NACIONAL DE PREVENCIÓN DEL DELITO 2016</t>
  </si>
  <si>
    <t>CUARTO ENCUENTRO MUNDIAL DE POETAS 2016</t>
  </si>
  <si>
    <t>V FESTIVAL DE LA PALABRA 2016</t>
  </si>
  <si>
    <t>V FESTIVAL INFANTIL Y JUVENIL LA MAROMA 2016</t>
  </si>
  <si>
    <t>CUARTA EDICION DEL PREMIO IBEROAMERICANO DE POESÍA MANUEL ACUÑA 2016</t>
  </si>
  <si>
    <t>TERCERA EDICIÓN DE DIFSIÓN DE LA CULTURA Y LAS ARTES COAHUILENSES FUERA DEL ESTADO 2016</t>
  </si>
  <si>
    <t>FONDO PARA EL FORTALECIMIENTO DE LA INFRAESTRUCTURA ESTATAL Y MUNICIPAL 2016</t>
  </si>
  <si>
    <t>PROGRAMA PARA EL DESARROLLO PROFESIONAL DOCENTE 2016</t>
  </si>
  <si>
    <t>PROGRAMA NACIONAL DE CONVIVENCIA ESCOLAR 2016</t>
  </si>
  <si>
    <t>PROGRAMA NACIONAL DE INGLES 2016</t>
  </si>
  <si>
    <t>PROGRAMA PARA LA INCLUSION Y LA EQUIDAD EDUCATIVA 2016</t>
  </si>
  <si>
    <t>PROGRAMA FORTALECIMIENTO DE LA CALIDAD EDUCATIVA 2016</t>
  </si>
  <si>
    <t>PROGRAMA NACIONAL DE BECAS (TIPO BASICO) 2016</t>
  </si>
  <si>
    <t>CAMINOS Y PUENTES FEDERALES ACUÑA 2016</t>
  </si>
  <si>
    <t>CAMINOS Y PUENTES FEDERALES PIEDRAS NEGRAS 2016</t>
  </si>
  <si>
    <t>MANEJO DE RESIDUOS ELECTRÓNICOS, CIUDAD ACUÑA, PIEDRAS NEGRAS Y GUERRERO, COAHUILA (2016)</t>
  </si>
  <si>
    <t>FONDO PARA ENTIDADES FEDERATIVAS Y MUNICIPIOS PRODUCTORES DE HIDROCARBUROS 2016</t>
  </si>
  <si>
    <t>PROGRAMA DE APOYO A INSTANCIAS DE MUJERES EN LAS ENTIDADES FEDERATIVAS, PARA IMPLEMENTAR Y EJECUTAR PROGRAMAS DE PREVENCIÓN DE LA VIOLENCIA CONTRA LAS MUJERES (PAIMEF 2016)</t>
  </si>
  <si>
    <t>PROGRAMA FORTALECIMIENTO A LA TRANSVERSALIDAD DE LA PRESPECTIVA DE GÉNERO 2016</t>
  </si>
  <si>
    <t>FONDO PARA LA ACCESIBILIDAD EN EL TRANSPORTE PÚBLICO PARA LAS PERSONAS CON DISCAPACIDAD 2016</t>
  </si>
  <si>
    <t>REHABILITACION DEL TEMPLO DE SANTIAGO APOSTOL 2016</t>
  </si>
  <si>
    <t>BANCOMER</t>
  </si>
  <si>
    <t>Estado Analítico de Ingresos por Clasificación Economica</t>
  </si>
  <si>
    <t>INGRESOS CORRIENTES</t>
  </si>
  <si>
    <t>Contribuciones a la Seguridad Social</t>
  </si>
  <si>
    <t>Ventas de Bienes y Servicios de Entidades del Gobierno</t>
  </si>
  <si>
    <t>Subsidios y Subvenciones Recibidos por Ent. Empresariales</t>
  </si>
  <si>
    <t>Transferencias, Asignaciones y Donativos Corrientes</t>
  </si>
  <si>
    <t>INGRESOS DE CAPITAL</t>
  </si>
  <si>
    <t>Venta (Disposición) de Activos</t>
  </si>
  <si>
    <t>Disminución de Existencias</t>
  </si>
  <si>
    <t>Incremento de la depreciación, amortización, estimaciones y provisiones acumuladas</t>
  </si>
  <si>
    <t>Transferencias, asignaciones y donativos de capital recibidos</t>
  </si>
  <si>
    <t>Recuperación de inversiones financieras realizadas con fines de política</t>
  </si>
  <si>
    <t>TOTAL DE INGRESOS</t>
  </si>
  <si>
    <t>Derechos, Productos y Aprovechamientos Corrientes</t>
  </si>
  <si>
    <t>Rentas de la Propiedad</t>
  </si>
  <si>
    <t>Fondo para Ent. Y Mpios Prod de Hidrocarburos 2016</t>
  </si>
  <si>
    <t>Infraestructura Social (FAIS)</t>
  </si>
  <si>
    <t>PROGRAMA PRODUCTIVIDAD RURAL PARA ATENDER A PEQUEÑOS PRODUCTORES 2016</t>
  </si>
  <si>
    <t>FONDO CONCURSABLE EDUC MEDIA SUPERIOR 2015</t>
  </si>
  <si>
    <t>APOYO FINANCIERO EXTRAORDINARIO NO REGULARIZABLE 2016 PARA SOLVENTAR GTOS</t>
  </si>
  <si>
    <t>APOYO A INSTITUCIONES ESTATALES DE CULTURA 2016</t>
  </si>
  <si>
    <t>PROGRAMA (PROTAR INFRAESTRUCTURA 2014)</t>
  </si>
  <si>
    <t>COMITE TECNICO DE AGUAS SUBTERRANEAS DEL ACUIFERO CUATROCIENEGAS 2016</t>
  </si>
  <si>
    <t>COMITE TECNICO DE AGUAS SUBTERRAREAS DEL ACUIFERO CUATROCIENEGAS-OCAMPO 2016</t>
  </si>
  <si>
    <t>SUB PROGRAMA INFRAESTRUCTURA REHABILITACION Y/O EQ. DE ESPACIOS ALIMENTARIOS 2016.</t>
  </si>
  <si>
    <t>PROGRAMA PARA LA FISCALIZACION DEL GASTO FEDERALIZADO (PROFIS) 2016</t>
  </si>
  <si>
    <t>ADQUISICION DE CUATRO CAMIONES MPIO DE PARRAS 2015</t>
  </si>
  <si>
    <t>RECURSOS REMANENTES DEL FAM (2015-2040)</t>
  </si>
  <si>
    <t>SISTEMATIZACION Y AUTOMATIZACION PERMISO DE CONST</t>
  </si>
  <si>
    <t>FORTALECIMIENTO A LA ATENCION MEDICA 2016</t>
  </si>
  <si>
    <t>PROGRAMA PARA EL DESARROLLO PROFESIONAL DOCENTE 2016.</t>
  </si>
  <si>
    <t>PROGRAMA PARA LA INCLUSION Y LA EQUIDAD EDUCATIVA</t>
  </si>
  <si>
    <t>PROGRAMA DE FORTALECIMIENTO DE LA CALIDAD DE EDUCA</t>
  </si>
  <si>
    <t>SERVICIO EDUCATIVO DENOMINADO COMUNITARIO 91 ( 2016).</t>
  </si>
  <si>
    <t>PROSPERA PROGRAMA DE INCLUSION SOCIAL 2016</t>
  </si>
  <si>
    <t>CONVENIO DE COORDINACION PARA EL OTORGAM DE UN SUBSIDIO TURISTICOS DIVERSIFICADOS.</t>
  </si>
  <si>
    <t>PROGRAMA DE APOYO A INSTANCIAS DE MUJERES (PAIMEF 2016).</t>
  </si>
  <si>
    <t>FONDO PARA EL FORTALECIMIENTO DE LA INFRAESTRUCTURA ESTATAL Y MUNICIPAL 2016.</t>
  </si>
  <si>
    <t>FORTALECIMIENTO FINANCIERO B 2016</t>
  </si>
  <si>
    <t>FORTALECIMIENTO FINANCIERO PARA INVERSION C 2016</t>
  </si>
  <si>
    <t>PROGRAMA DE BECA DE APOYO A LA PRACTICA INENSIVA Y AL SERVICIO SOCIAL PROBAPISS 2016</t>
  </si>
  <si>
    <t>Fideicomiso Fondo de Estabilizacion de los Ing FEIEF 16</t>
  </si>
  <si>
    <t>Total De Ingresos</t>
  </si>
  <si>
    <t>PROGRAMA DE BECA DE APOYO A LA PRACTICA INTENSIVA Y AL SERVICIO SOCIAL (PROBAPISS) 2016</t>
  </si>
  <si>
    <t>FIDEICOMISO PARA LA INFRAESTRUCTURA EN LOS ESTADOS (FIES) 2016</t>
  </si>
  <si>
    <t>PROGRAMA DE APOYOS PARA LA PROTECCION DE LAS PERSONAS EN ESTADO DE NECESIDAD 2016</t>
  </si>
  <si>
    <t>PUNTO MUJERES MOVIENDO MEXICO COAHUILA 2016</t>
  </si>
  <si>
    <t>PROGRAMAS REGIONALES A 2016</t>
  </si>
  <si>
    <t>PROGRAMA DE MODERNIZACION INTEGRAL DEL REGISTRO CIVIL DEL ESTADO 2016 (FEDERAL)</t>
  </si>
  <si>
    <t>PROGRAMA DE MODERNIZACION INTEGRAL DEL REGISTRO CIVIL DEL ESTADO 2016 (ESTATAL)</t>
  </si>
  <si>
    <t>CONVENIO LIBRERÍA CARLOS MONSIVAIS 2016</t>
  </si>
  <si>
    <t>PROGRAMADEPRODUCTIVIDADRURAL,COMPONENTEDEATENCIONASINIESTROSAGROPECUARIOSPARAATENDERAPEQUEÑOSPRODUCTORES 2016</t>
  </si>
  <si>
    <t>FIDEICOMISO FONDO DE ESTABILIZACION DE LOS INGRESOS DE LAS ENTIDADES FEDERATIVAS (FEIEF 2016)</t>
  </si>
  <si>
    <t>PROGRAMADEPRODUCTIVIDADRURAL,COMPONENTEDEATENCIONASINIESTROSAGROPECUARIOSPARAATENDERAPEQUEÑOSPRODUCTORES (SEGURO AGRICOLA) 2016</t>
  </si>
  <si>
    <t>FORTALECIMIENTO FINANCIERO D 2016</t>
  </si>
  <si>
    <t>RED NACIONAL DE PROGRAMAS DE RADIO Y TELEVISION PODER JOVEN 2016</t>
  </si>
  <si>
    <t>APOYOFINANCIEROEXTRAORDINARIONOREGULARIZABLECONBASEENLADISPONIBLIDADPRESUPUESTARIADELEJERCICIOFISCAL2016,PARASOLVENTARGASTOSINHERENTESALPAGODEINCENTIVOSALASFIGURASEDUCATIVASDETUTORESYASESORESTECNICOPEDAGOGICODELCICLOESCOLAR2014-2015.ASICOMO,LOCORRESPONDIENTEALPRIMERSEMESTREDELCICLOESCOLAR2015-2016 A ASESORES TECNICOS PEDAGOGICOS</t>
  </si>
  <si>
    <t>PROYECTO CONSERVACION DEL ARROYO LAS VACAS 2016</t>
  </si>
  <si>
    <t>COMITÉ TECNICO DE AGUAS SUBTERRANEAS DEL ACUIFERO DE CUATROCIENEGAS - OCAMPO 2016</t>
  </si>
  <si>
    <t>COMITÉ TECNICO DE AGUAS SUBTERRANEAS DEL ACUIFERO DE CUATROCIENEGAS 2016</t>
  </si>
  <si>
    <t>CONVENIO DE APOYO FINANCIERO PARA LA AUTONOMIA DE GESTION (UA DE C) 2016</t>
  </si>
  <si>
    <t>CONVENIO DE APOYO FINANCIERO PARA LA AUTONOMIA DE GESTION (COBAC, CONALEP Y CECYTEC) 2016</t>
  </si>
  <si>
    <t>FONDO PARA EL DESARROLLO REGIONAL SUSTENTABLE DE ESTADO Y MUNICIPIO MINERO PARA EL ESTADO DE COAHUILA DE ZARAGOZA 2016</t>
  </si>
  <si>
    <t>FONDO CONCURSABLE DE INVERSION EN INFRAESTRUCTURA PARA EDUCACION MEDIA SUPERIOR (UA DE C) 2016</t>
  </si>
  <si>
    <t>FONDO CONCURSABLE DE INVERSION EN INFRAESTRUCTURA PARA EDUCACION MEDIA SUPERIOR (ICIFED, CONALEP Y CECYTEC) 2016</t>
  </si>
  <si>
    <t>PROGRAMA PARA EL DESARROLLO DE LA INDUSTRIA DEL SOFTWARE PROSOFT 2016</t>
  </si>
  <si>
    <t>ç</t>
  </si>
  <si>
    <t>Informe de Avance de Gestión 3er. Trimestre 2016</t>
  </si>
  <si>
    <t>Aportaciones Múltiples (FAM) Educacion al 100</t>
  </si>
  <si>
    <t>FOMENTO A LA AGRICULTURA COMPONENTE AGROPRODUCCION 2016</t>
  </si>
  <si>
    <t>FONDO CONCURSABLE DE INVERSION EN INFRAESTRCTURA PARA EDUC MEDIA SUPERIOR 2016</t>
  </si>
  <si>
    <t>COLEGIO DE BACHILLERES COAHUILA 2016</t>
  </si>
  <si>
    <t>CONVENIO DE APOYO FINANCIERO LA AUTONOMIA DE GESTION (COBAC, CONALEP Y CECYTE) 2016</t>
  </si>
  <si>
    <t>CUARTA EDICION DEL PREMIO IBEROAMERICANO DE POESIA MANUEL ACUÑA 2016.</t>
  </si>
  <si>
    <t>TERCERA EDICION DE DIFUSION DE LA CULTURA Y LAS ARTES COAH FUERA DEL EDO 2016.</t>
  </si>
  <si>
    <t>FONDO PARA LA ACCESIBILIDAD EN EL TRANSPORTE PUBLICO PERSONAS DISCAPACIDAD 2016.</t>
  </si>
  <si>
    <t>ORGANISMO CUENCA CUENCAS CENTRALES DEL NORTE PROAGUA APARTADO URBANO 2016.</t>
  </si>
  <si>
    <t>ORGANISMO CUENCA CUENCAS CENTRALES DEL NORTE PROAGUA APARTADO RURAL 2016.</t>
  </si>
  <si>
    <t>ORGANISMO CENTRALES DEL NORTE PROSAN INFRAESTRUCTURA 2016.</t>
  </si>
  <si>
    <t>CALIDAD EN LA ATENCION MEDICA 2016</t>
  </si>
  <si>
    <t>REGULACION Y VIGILANCIA DE ESTABLECIMIENTOS Y SERVICIOS DE ATENCION MEDICA G005 2016</t>
  </si>
  <si>
    <t>FONDO ZONA METROPOLITANA DE MONCLOVA-FRONTERA 2016</t>
  </si>
  <si>
    <t>PROGRAMAS REGIONALES B 2016</t>
  </si>
  <si>
    <t>PROYECTOS DE DESARROLLO REGIONAL B 2016</t>
  </si>
  <si>
    <t>PROGRAMAS REGIONALES C 2016</t>
  </si>
  <si>
    <t>PROGRAMA NACIONAL DE PREVENCION DEL DELITO 2016</t>
  </si>
  <si>
    <t>S267 PROGRAMA DE FORTALECIMIENTO DE CALIDAD EDUCATIVA (PACTEN) 2016</t>
  </si>
  <si>
    <t>PROGRAMA DE MODERNIZACION INTEGRAL DEL REGISTRO CIVIL 2016 (FEDERAL)</t>
  </si>
  <si>
    <t>FORTALECIMIENTO FINANCIERO PARA IMPULSAR LA INVERSION E 2016</t>
  </si>
  <si>
    <t>FONDO PARA EL FORTALECIMIENTO DE LA INFRAESTRUCTURA ESTATAL Y MUNICIPAL B 2016</t>
  </si>
  <si>
    <t>FORTALECIMIENTO FINANCIERO G 2016</t>
  </si>
  <si>
    <t>FORTALECIMIENTO FINANCIERO PARA INVERSION F 2016</t>
  </si>
  <si>
    <t>PROGRAMA DE MODERNIZACION INTEGRAL DEL REGISTRO CIVIL 2016 (ESTATAL)</t>
  </si>
  <si>
    <t xml:space="preserve">Estado de Actividades </t>
  </si>
  <si>
    <t>Cambios en la Hacienda Pública/Patrimonio Neto del 3er Trimestre 2016</t>
  </si>
  <si>
    <t>Ampliacion Y/O Mejoramiento De La Vivienda 2016</t>
  </si>
  <si>
    <t>Fomento A La Agricultura Componente Agroproduccion 2016</t>
  </si>
  <si>
    <t>Atencion A Personas Con Discpacidad 2016</t>
  </si>
  <si>
    <t>Fortalecimiento Financiero Para Impulsar La Inversion E 2016</t>
  </si>
  <si>
    <t>Fondo Para El Fortalecimiento De La Infraestructura Estatal Y Municipal B 2016</t>
  </si>
  <si>
    <t>Fortalecimiento Financiero Para Inversion F 2016</t>
  </si>
  <si>
    <t>Fortalecimiento Financiero G 2016</t>
  </si>
  <si>
    <t>Programas Regionales B 2016</t>
  </si>
  <si>
    <t>Programa De Electrificacion 2016</t>
  </si>
  <si>
    <t>Convenio De Coorporacion Tecnica No Reembolsable No. Atn/Cr-15525-Me Para El Fortalecimiento Del Registro Civil Del Estado De Coahuila De Zaragoza 2016</t>
  </si>
  <si>
    <t>Consolidacion De La Industria Vitivinicola A Traves Del Posicionamiento De La Marca Vinos De Coahuila 2016</t>
  </si>
  <si>
    <t>Centro Pyme De Innovacion Y Tecnologia 2016</t>
  </si>
  <si>
    <t>Proyectos De Desarrollo Regional B 2016</t>
  </si>
  <si>
    <t>Secretaria De Finanzas / Seguridad 2016</t>
  </si>
  <si>
    <t>Programas Regionales C 2016</t>
  </si>
  <si>
    <t>Fondo De Apoyo A Migrantes 2016</t>
  </si>
  <si>
    <t>Rehabilitación De Plaza Principal Del Municipio De Allende, Coahuila De Zaragoza 2016</t>
  </si>
  <si>
    <t>Nueva Planta Productiva De Base Tecnologica Nacional Para La Elaboracion Y Comercializacion De Formulaciones Bibliotecnologicas Altamente Eficientes Para Incrementar La Competitividad Regional 2016</t>
  </si>
  <si>
    <t>Calidad En La Atencion Medica 2016</t>
  </si>
  <si>
    <t>Regulacion Y Vigilancia De Establecimientos Y Servicios De Atencion Medica G005 2016</t>
  </si>
  <si>
    <t>Convenio Del Fondo Concursable De Inversion En Infraestructura Para Educacion Media Superior 2016 (Planteles Federales)</t>
  </si>
  <si>
    <t>Ocrb Cultura Del Agua</t>
  </si>
  <si>
    <t>Organismo De Cuenca Cuencas Centrales Del Norte Prosan Incentivos Al Tratamiento De Aguas Residuales</t>
  </si>
  <si>
    <t>Convenio Municipal De Hidrocarburos 2016, Municipio De Villa Union, Coahuila</t>
  </si>
  <si>
    <t>Convenio Municipal De Hidrocarburos 2016, Municipio De Hidalgo Coahuila</t>
  </si>
  <si>
    <t>Anexo de las Participaciones y Aportaciones a los Municipios y Dependencias</t>
  </si>
  <si>
    <t xml:space="preserve">  ICIFED</t>
  </si>
  <si>
    <t>Al 31 de diciembre de 2016 y al 31 de diciembre de 2015</t>
  </si>
  <si>
    <t>Del 1 de enero al 31 de diciembre de 2016 y del 1 de enero al 31 de diciembre de 2015</t>
  </si>
  <si>
    <t>Saldo Final Dic</t>
  </si>
  <si>
    <t>Saldo Final  Sep</t>
  </si>
  <si>
    <t>Saldo Neto en la Hacienda Pública / Patrimonio al 31 de diciembre 2016</t>
  </si>
  <si>
    <t>Del 1 de enero al 31 de diciembre de 2016</t>
  </si>
  <si>
    <t>Hacienda Pública/Patrimonio Neto Final del 2015</t>
  </si>
  <si>
    <t>Cuenta Pública 2016</t>
  </si>
  <si>
    <t>CONVENIO DEL FONDO CONCURSABLE DE INVERSION INFRAESTRUCTURA EDUC MED SUP 2016</t>
  </si>
  <si>
    <t>FONDO CONCURSABLE DE INVERSION EN INFRAESTRUCTIRA (ICIFED, CONALEP Y CECYTEC 2016</t>
  </si>
  <si>
    <t>PROGRAMA PRESUPUESTARIO EXPANSION EDUC MED 2016 INST TEC DE TORREON</t>
  </si>
  <si>
    <t>PROGRAMA PRESUPUESTARIO EXPANSION EDUC MED SUP 2016 INST TEC SALTILLO</t>
  </si>
  <si>
    <t>PROGRAMA PRESUPUESTARIO EXPANSION EDUC MED SUP INST TEC DE LA LAGUNA</t>
  </si>
  <si>
    <t>PROGRAMA PRESUPUESTARIO EXP EDUC MED SUP INST TEC LAGUNA ACADEMICA DEP TIPO II</t>
  </si>
  <si>
    <t>ATENCION A PERSONAS CONS DISCAPACIDAD 2016</t>
  </si>
  <si>
    <t>PROGRAMA PREV DE RIESGOS ORDENAMIENTO TERRITORIAL NTE DEL ESTADO 2016</t>
  </si>
  <si>
    <t>PROYECTOS DE DESARROLLO REGIONAL C 2016</t>
  </si>
  <si>
    <t>PROGRAMAS REGIONALES D 2016</t>
  </si>
  <si>
    <t>CONVENIO MUNICIPAL DE HIDROCARBUROS 2015 MUNICIPAL</t>
  </si>
  <si>
    <t>CONTINGENCIAS ECONOMICAS E 2105</t>
  </si>
  <si>
    <t>FONDO PARA EL DESARROLLO REGIONAL SUSTENTABLE DE EDO Y MPIO MINEROS 2016</t>
  </si>
  <si>
    <t>RED NACIO NAL DE PROGRAMAS DE RADIO Y TELEVISION PODER JOVEN 2016</t>
  </si>
  <si>
    <t>CENTRO PYME DE INNOVACION Y TECNOLOGIA 2016</t>
  </si>
  <si>
    <t>CONSOLIDACION DE LA INDUSTRIA VITIVINICOLA MARCA VINOS COAHUILA 2016</t>
  </si>
  <si>
    <t>NUEVA PLANTA COMERCIALIZACIONES Y BIOTECNOLOGICAS COMP REGIONAL 2016</t>
  </si>
  <si>
    <t>PROGRAMA PARA EL DESARROLLO PROFESIONAL DOCENTE TIPO BASICO 2016</t>
  </si>
  <si>
    <t>FORTALECIMIENTO FINANCIERO PARA INVERSION H 2016</t>
  </si>
  <si>
    <t>COMPROMISO PARQUE INDUSTRIAL CENTENARIO 2°ETAPA FNE-160912-C-ES-00312671, 2016</t>
  </si>
  <si>
    <t>APOYO A LAS CULTURAS MUNICIPALES Y COMUNITARIAS PACMYC 2016</t>
  </si>
  <si>
    <t>FORTALECIMIENTO FINANCIERO PARA INVERSION I 2016</t>
  </si>
  <si>
    <t>FORTALECIMIENTO FINANCIERO J 2016</t>
  </si>
  <si>
    <t>U080 GTOS INHERENTES A LA OPERACION CON BASE DISPONIBILIDAD EJER FISCAL 2016</t>
  </si>
  <si>
    <t>PROGRAMA DE INICIATIVAS REGUERZO COMPETITIVIDAD EMPRESARIAL 2016</t>
  </si>
  <si>
    <t>DESARROLLO DE PROTOTIPOS DE PICOSATELITE DE ORBITA BAJA 2016</t>
  </si>
  <si>
    <t>FONDO DE APOYO A MIGRANTES 2016</t>
  </si>
  <si>
    <t>CONVENIO DE COOPERACION TEC FORTALECIMIENTO REGISTRO CIVIL 2016</t>
  </si>
  <si>
    <t>OTROS INGRESOS DE EJERCICIOS ANTERIORES</t>
  </si>
  <si>
    <t>Final</t>
  </si>
  <si>
    <t>Sistema</t>
  </si>
  <si>
    <t>Variacion</t>
  </si>
  <si>
    <t>ajuste para el modificado y el devengado</t>
  </si>
  <si>
    <t>Analisis de pagoado vs devengado</t>
  </si>
  <si>
    <t>Ajuste</t>
  </si>
  <si>
    <t>Ajuste del Devengado vs modificado</t>
  </si>
  <si>
    <t>xx dif</t>
  </si>
  <si>
    <t>Pagado vs devengado</t>
  </si>
  <si>
    <t>Modifica Pres Dev vs Mod</t>
  </si>
  <si>
    <t>PROGRAMA DE PREVENCION DE RIESGOS PARA LA ELABORACION DEL PROGRAMA REGIONAL DE GESTION DE RIESGOS Y ORDENAMIENTO TERRITORIAL NORTE DEL ESTADO DE COAHUILA DE ZARAGOZA 2016</t>
  </si>
  <si>
    <t>FOMENTAR LA EXPANSION DE LA OFERTA EDUCATIVA DE TIPO MEDIA SUPERIOR UA DE C 2016</t>
  </si>
  <si>
    <t>PROGRAMA DE LA REFORMA EDUCATIVA 2016</t>
  </si>
  <si>
    <t>COMPROMISO DE GOBIERNO PARQUE INDUSTRIAL CENTENARIO COAHUILA 2ª. ETAPA, FOLIO FNE-160912-C-ES-00312671, 2016.</t>
  </si>
  <si>
    <t>FORTALECIMIENTO FINANCIERO PARA INVERSIÓN I 2016</t>
  </si>
  <si>
    <t>U080 APOYO PARA SOLVENTAR GASTOS INHERENTES A LA OPERACIÓN Y PRESTACIÓN DE SERVICIOS DE EDUCACIÓN EN EL ESTADO, CON BASE EN LA DISPONIBILIDAD PRESUPUESTARIA DEL EJERCICIO FISCAL 2016</t>
  </si>
  <si>
    <t>PROGRAMA DE INICIATIVAS DE REFUERZO A LA COMPETITIVIDAD EMPRESARIAL 2016</t>
  </si>
  <si>
    <t>JÓVENES POR UN MÉXICO INCLUYENTE 2016</t>
  </si>
  <si>
    <t>PROGRAMA PRESUPUESTARIO EXPANSION DE LA OFERTA EDUCATIVA MEDIA SUPERIOR Y SUPERIOR 2016, INSTITUTO TECNOLOGICO DE SALTILLO</t>
  </si>
  <si>
    <t>PROGRAMA PRESUPUESTARIO EXPANSION DE LA OFERTA EDUCATIVA MEDIA SUPERIOR Y SUPERIOR 2016, INSTITUTO TECNOLOGICO DE TORREON</t>
  </si>
  <si>
    <t>PROGRAMA PRESUPUESTARIO EXPANSIÓN DE LA EDUACIÓN MEDIA SUPERIOR Y SUPERIOR 2016 (INSTITUTO TECNOLÓGICO DE LA LAGUNA, UNIDAD ACADÉMICA DEPARTAMENTAL TIPO II)</t>
  </si>
  <si>
    <t>PROGRAMA PRESUPUESTARIO EXPANSIÓN DE LA EDUACIÓN MEDIA SUPERIOR Y SUPERIOR 2016 (INSTITUTO TECNOLÓGICO DE LA LAGUNA, CENTRO DE INVESTIGACIÓN)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</si>
</sst>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0_ ;\-0\ "/>
    <numFmt numFmtId="166" formatCode="#,##0_ ;\-#,##0\ "/>
    <numFmt numFmtId="167" formatCode="_-* #,##0_-;\-* #,##0_-;_-* &quot;-&quot;??_-;_-@_-"/>
    <numFmt numFmtId="168" formatCode="_-* #,##0.0000_-;\-* #,##0.0000_-;_-* &quot;-&quot;??_-;_-@_-"/>
    <numFmt numFmtId="169" formatCode="_-* #,##0.00000_-;\-* #,##0.00000_-;_-* &quot;-&quot;??_-;_-@_-"/>
    <numFmt numFmtId="170" formatCode="#,##0.000000"/>
    <numFmt numFmtId="171" formatCode="#,##0.0000000"/>
    <numFmt numFmtId="172" formatCode="#,##0.0000"/>
    <numFmt numFmtId="173" formatCode="#,##0.0_ ;\-#,##0.0\ "/>
    <numFmt numFmtId="174" formatCode="_-* #,##0.000_-;\-* #,##0.000_-;_-* &quot;-&quot;??_-;_-@_-"/>
    <numFmt numFmtId="175" formatCode="_-* #,##0.0000000_-;\-* #,##0.0000000_-;_-* &quot;-&quot;??_-;_-@_-"/>
    <numFmt numFmtId="176" formatCode="0.000"/>
    <numFmt numFmtId="177" formatCode="#,##0.000000000"/>
    <numFmt numFmtId="178" formatCode="_-* #,##0.0_-;\-* #,##0.0_-;_-* &quot;-&quot;??_-;_-@_-"/>
    <numFmt numFmtId="179" formatCode="#,##0.000000000000000000"/>
    <numFmt numFmtId="180" formatCode="0.0000000000_ ;\-0.0000000000\ "/>
    <numFmt numFmtId="181" formatCode="_-* #,##0.0000_-;\-* #,##0.0000_-;_-* &quot;-&quot;????_-;_-@_-"/>
    <numFmt numFmtId="182" formatCode="#,##0.0000000000"/>
    <numFmt numFmtId="183" formatCode="_-* #,##0.00000000_-;\-* #,##0.00000000_-;_-* &quot;-&quot;??_-;_-@_-"/>
  </numFmts>
  <fonts count="45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i/>
      <sz val="8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FF0000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i/>
      <sz val="11"/>
      <color theme="1"/>
      <name val="Arial"/>
      <family val="2"/>
    </font>
    <font>
      <b/>
      <sz val="12"/>
      <color theme="1"/>
      <name val="Arial"/>
      <family val="2"/>
    </font>
    <font>
      <b/>
      <sz val="10"/>
      <name val="Arial"/>
      <family val="2"/>
    </font>
    <font>
      <b/>
      <sz val="11"/>
      <color theme="0" tint="-0.499984740745262"/>
      <name val="Arial"/>
      <family val="2"/>
    </font>
    <font>
      <b/>
      <i/>
      <sz val="11"/>
      <color theme="1"/>
      <name val="Arial"/>
      <family val="2"/>
    </font>
    <font>
      <b/>
      <sz val="11"/>
      <color theme="1" tint="0.34998626667073579"/>
      <name val="Arial"/>
      <family val="2"/>
    </font>
    <font>
      <sz val="11"/>
      <color indexed="8"/>
      <name val="Arial"/>
      <family val="2"/>
    </font>
    <font>
      <sz val="11"/>
      <color rgb="FF000000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sz val="11"/>
      <color theme="1"/>
      <name val="Calibri"/>
      <family val="2"/>
    </font>
    <font>
      <b/>
      <vertAlign val="superscript"/>
      <sz val="11"/>
      <color theme="0"/>
      <name val="Arial"/>
      <family val="2"/>
    </font>
    <font>
      <b/>
      <vertAlign val="superscript"/>
      <sz val="11"/>
      <color theme="1"/>
      <name val="Arial"/>
      <family val="2"/>
    </font>
    <font>
      <b/>
      <sz val="11"/>
      <color rgb="FFFFFFFF"/>
      <name val="Arial"/>
      <family val="2"/>
    </font>
    <font>
      <sz val="12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0.5"/>
      <name val="Arial"/>
      <family val="2"/>
    </font>
    <font>
      <b/>
      <sz val="12"/>
      <name val="Arial"/>
      <family val="2"/>
    </font>
    <font>
      <b/>
      <sz val="16"/>
      <color theme="1"/>
      <name val="Arial"/>
      <family val="2"/>
    </font>
    <font>
      <sz val="8"/>
      <color rgb="FF000000"/>
      <name val="Arial"/>
      <family val="2"/>
    </font>
    <font>
      <b/>
      <sz val="11"/>
      <color theme="9" tint="-0.249977111117893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rgb="FF00B050"/>
        <bgColor indexed="64"/>
      </patternFill>
    </fill>
    <fill>
      <patternFill patternType="lightGray">
        <bgColor rgb="FF00A54B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164" fontId="3" fillId="0" borderId="0"/>
    <xf numFmtId="43" fontId="7" fillId="0" borderId="0" applyFont="0" applyFill="0" applyBorder="0" applyAlignment="0" applyProtection="0"/>
    <xf numFmtId="0" fontId="3" fillId="0" borderId="0"/>
    <xf numFmtId="0" fontId="7" fillId="0" borderId="0"/>
    <xf numFmtId="43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" fillId="0" borderId="0"/>
  </cellStyleXfs>
  <cellXfs count="928">
    <xf numFmtId="0" fontId="0" fillId="0" borderId="0" xfId="0"/>
    <xf numFmtId="165" fontId="2" fillId="2" borderId="0" xfId="2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vertical="top"/>
    </xf>
    <xf numFmtId="3" fontId="1" fillId="3" borderId="0" xfId="2" applyNumberFormat="1" applyFont="1" applyFill="1" applyBorder="1" applyAlignment="1">
      <alignment vertical="top"/>
    </xf>
    <xf numFmtId="0" fontId="9" fillId="3" borderId="0" xfId="0" applyFont="1" applyFill="1" applyBorder="1" applyAlignment="1">
      <alignment vertical="top"/>
    </xf>
    <xf numFmtId="0" fontId="1" fillId="4" borderId="0" xfId="0" applyFont="1" applyFill="1" applyBorder="1" applyAlignment="1">
      <alignment horizontal="right"/>
    </xf>
    <xf numFmtId="0" fontId="5" fillId="2" borderId="0" xfId="3" applyFont="1" applyFill="1" applyBorder="1" applyAlignment="1">
      <alignment horizontal="center" vertical="center"/>
    </xf>
    <xf numFmtId="0" fontId="0" fillId="0" borderId="0" xfId="0" applyFill="1"/>
    <xf numFmtId="3" fontId="1" fillId="5" borderId="0" xfId="0" applyNumberFormat="1" applyFont="1" applyFill="1" applyBorder="1" applyAlignment="1" applyProtection="1">
      <alignment vertical="top"/>
      <protection locked="0"/>
    </xf>
    <xf numFmtId="3" fontId="4" fillId="5" borderId="14" xfId="0" applyNumberFormat="1" applyFont="1" applyFill="1" applyBorder="1" applyAlignment="1" applyProtection="1">
      <alignment vertical="top"/>
    </xf>
    <xf numFmtId="3" fontId="4" fillId="5" borderId="0" xfId="0" applyNumberFormat="1" applyFont="1" applyFill="1" applyBorder="1" applyAlignment="1" applyProtection="1">
      <alignment vertical="top"/>
    </xf>
    <xf numFmtId="3" fontId="4" fillId="5" borderId="0" xfId="0" applyNumberFormat="1" applyFont="1" applyFill="1" applyBorder="1" applyAlignment="1" applyProtection="1">
      <alignment horizontal="right" vertical="top"/>
    </xf>
    <xf numFmtId="3" fontId="1" fillId="6" borderId="0" xfId="2" applyNumberFormat="1" applyFont="1" applyFill="1" applyBorder="1" applyAlignment="1" applyProtection="1">
      <alignment horizontal="right" vertical="top" wrapText="1"/>
    </xf>
    <xf numFmtId="0" fontId="8" fillId="0" borderId="0" xfId="0" applyFont="1" applyAlignment="1">
      <alignment wrapText="1"/>
    </xf>
    <xf numFmtId="14" fontId="8" fillId="0" borderId="0" xfId="0" applyNumberFormat="1" applyFont="1" applyAlignment="1">
      <alignment wrapText="1"/>
    </xf>
    <xf numFmtId="0" fontId="10" fillId="0" borderId="0" xfId="0" applyFont="1" applyFill="1"/>
    <xf numFmtId="0" fontId="12" fillId="0" borderId="0" xfId="0" applyFont="1" applyAlignment="1">
      <alignment horizontal="center"/>
    </xf>
    <xf numFmtId="0" fontId="14" fillId="4" borderId="0" xfId="0" applyFont="1" applyFill="1"/>
    <xf numFmtId="0" fontId="14" fillId="4" borderId="0" xfId="0" applyFont="1" applyFill="1" applyAlignment="1"/>
    <xf numFmtId="0" fontId="14" fillId="4" borderId="0" xfId="0" applyFont="1" applyFill="1" applyBorder="1"/>
    <xf numFmtId="0" fontId="15" fillId="4" borderId="0" xfId="3" applyFont="1" applyFill="1" applyBorder="1" applyAlignment="1"/>
    <xf numFmtId="0" fontId="16" fillId="4" borderId="0" xfId="0" applyFont="1" applyFill="1" applyBorder="1" applyAlignment="1"/>
    <xf numFmtId="0" fontId="15" fillId="4" borderId="0" xfId="3" applyFont="1" applyFill="1" applyBorder="1" applyAlignment="1">
      <alignment horizontal="center"/>
    </xf>
    <xf numFmtId="0" fontId="16" fillId="4" borderId="0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right"/>
    </xf>
    <xf numFmtId="0" fontId="15" fillId="4" borderId="0" xfId="3" applyFont="1" applyFill="1" applyBorder="1" applyAlignment="1">
      <alignment horizontal="centerContinuous"/>
    </xf>
    <xf numFmtId="0" fontId="14" fillId="4" borderId="0" xfId="0" applyFont="1" applyFill="1" applyBorder="1" applyAlignment="1"/>
    <xf numFmtId="0" fontId="17" fillId="4" borderId="0" xfId="3" applyFont="1" applyFill="1" applyBorder="1" applyAlignment="1">
      <alignment horizontal="center" vertical="center"/>
    </xf>
    <xf numFmtId="0" fontId="17" fillId="4" borderId="0" xfId="3" applyFont="1" applyFill="1" applyBorder="1" applyAlignment="1">
      <alignment horizontal="center"/>
    </xf>
    <xf numFmtId="0" fontId="14" fillId="4" borderId="0" xfId="0" applyFont="1" applyFill="1" applyBorder="1" applyAlignment="1">
      <alignment horizontal="center"/>
    </xf>
    <xf numFmtId="0" fontId="18" fillId="7" borderId="9" xfId="0" applyFont="1" applyFill="1" applyBorder="1" applyAlignment="1">
      <alignment horizontal="center" vertical="center"/>
    </xf>
    <xf numFmtId="165" fontId="19" fillId="7" borderId="6" xfId="2" applyNumberFormat="1" applyFont="1" applyFill="1" applyBorder="1" applyAlignment="1">
      <alignment horizontal="center" vertical="center"/>
    </xf>
    <xf numFmtId="0" fontId="19" fillId="7" borderId="6" xfId="3" applyFont="1" applyFill="1" applyBorder="1" applyAlignment="1">
      <alignment horizontal="center" vertical="center"/>
    </xf>
    <xf numFmtId="0" fontId="19" fillId="7" borderId="10" xfId="3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/>
    </xf>
    <xf numFmtId="0" fontId="14" fillId="4" borderId="1" xfId="0" applyFont="1" applyFill="1" applyBorder="1" applyAlignment="1"/>
    <xf numFmtId="0" fontId="15" fillId="4" borderId="0" xfId="3" applyFont="1" applyFill="1" applyBorder="1" applyAlignment="1">
      <alignment vertical="center"/>
    </xf>
    <xf numFmtId="0" fontId="17" fillId="4" borderId="0" xfId="3" applyFont="1" applyFill="1" applyBorder="1" applyAlignment="1"/>
    <xf numFmtId="0" fontId="14" fillId="4" borderId="2" xfId="0" applyFont="1" applyFill="1" applyBorder="1"/>
    <xf numFmtId="0" fontId="15" fillId="4" borderId="1" xfId="0" applyFont="1" applyFill="1" applyBorder="1" applyAlignment="1"/>
    <xf numFmtId="3" fontId="17" fillId="4" borderId="0" xfId="0" applyNumberFormat="1" applyFont="1" applyFill="1" applyBorder="1" applyAlignment="1">
      <alignment vertical="top"/>
    </xf>
    <xf numFmtId="0" fontId="14" fillId="4" borderId="0" xfId="0" applyFont="1" applyFill="1" applyBorder="1" applyAlignment="1">
      <alignment vertical="top"/>
    </xf>
    <xf numFmtId="0" fontId="14" fillId="4" borderId="2" xfId="0" applyFont="1" applyFill="1" applyBorder="1" applyAlignment="1"/>
    <xf numFmtId="0" fontId="15" fillId="4" borderId="1" xfId="0" applyFont="1" applyFill="1" applyBorder="1" applyAlignment="1">
      <alignment horizontal="left" vertical="top"/>
    </xf>
    <xf numFmtId="3" fontId="15" fillId="4" borderId="0" xfId="0" applyNumberFormat="1" applyFont="1" applyFill="1" applyBorder="1" applyAlignment="1">
      <alignment vertical="top"/>
    </xf>
    <xf numFmtId="0" fontId="14" fillId="4" borderId="2" xfId="0" applyFont="1" applyFill="1" applyBorder="1" applyAlignment="1">
      <alignment vertical="top"/>
    </xf>
    <xf numFmtId="0" fontId="17" fillId="4" borderId="1" xfId="0" applyFont="1" applyFill="1" applyBorder="1" applyAlignment="1">
      <alignment horizontal="left" vertical="top"/>
    </xf>
    <xf numFmtId="3" fontId="17" fillId="4" borderId="0" xfId="2" applyNumberFormat="1" applyFont="1" applyFill="1" applyBorder="1" applyAlignment="1" applyProtection="1">
      <alignment vertical="top"/>
      <protection locked="0"/>
    </xf>
    <xf numFmtId="0" fontId="15" fillId="4" borderId="0" xfId="0" applyFont="1" applyFill="1" applyBorder="1" applyAlignment="1">
      <alignment vertical="top" wrapText="1"/>
    </xf>
    <xf numFmtId="0" fontId="17" fillId="4" borderId="0" xfId="0" applyFont="1" applyFill="1" applyBorder="1" applyAlignment="1">
      <alignment vertical="top"/>
    </xf>
    <xf numFmtId="3" fontId="20" fillId="4" borderId="0" xfId="0" applyNumberFormat="1" applyFont="1" applyFill="1" applyBorder="1" applyAlignment="1">
      <alignment vertical="top"/>
    </xf>
    <xf numFmtId="3" fontId="17" fillId="4" borderId="0" xfId="0" applyNumberFormat="1" applyFont="1" applyFill="1" applyBorder="1" applyAlignment="1" applyProtection="1">
      <alignment vertical="top"/>
      <protection locked="0"/>
    </xf>
    <xf numFmtId="0" fontId="21" fillId="4" borderId="0" xfId="0" applyFont="1" applyFill="1" applyBorder="1" applyAlignment="1">
      <alignment vertical="top"/>
    </xf>
    <xf numFmtId="0" fontId="21" fillId="4" borderId="1" xfId="0" applyFont="1" applyFill="1" applyBorder="1" applyAlignment="1">
      <alignment horizontal="left" vertical="top"/>
    </xf>
    <xf numFmtId="3" fontId="21" fillId="4" borderId="0" xfId="0" applyNumberFormat="1" applyFont="1" applyFill="1" applyBorder="1" applyAlignment="1">
      <alignment vertical="top"/>
    </xf>
    <xf numFmtId="0" fontId="22" fillId="4" borderId="0" xfId="0" applyFont="1" applyFill="1" applyBorder="1" applyAlignment="1">
      <alignment vertical="top"/>
    </xf>
    <xf numFmtId="3" fontId="15" fillId="4" borderId="0" xfId="2" applyNumberFormat="1" applyFont="1" applyFill="1" applyBorder="1" applyAlignment="1">
      <alignment vertical="top"/>
    </xf>
    <xf numFmtId="0" fontId="14" fillId="4" borderId="1" xfId="0" applyFont="1" applyFill="1" applyBorder="1"/>
    <xf numFmtId="3" fontId="21" fillId="4" borderId="0" xfId="2" applyNumberFormat="1" applyFont="1" applyFill="1" applyBorder="1" applyAlignment="1">
      <alignment vertical="top"/>
    </xf>
    <xf numFmtId="0" fontId="22" fillId="4" borderId="2" xfId="0" applyFont="1" applyFill="1" applyBorder="1" applyAlignment="1">
      <alignment vertical="top"/>
    </xf>
    <xf numFmtId="0" fontId="21" fillId="4" borderId="0" xfId="0" applyFont="1" applyFill="1" applyBorder="1" applyAlignment="1">
      <alignment vertical="top" wrapText="1"/>
    </xf>
    <xf numFmtId="0" fontId="14" fillId="4" borderId="3" xfId="0" applyFont="1" applyFill="1" applyBorder="1"/>
    <xf numFmtId="0" fontId="14" fillId="4" borderId="4" xfId="0" applyFont="1" applyFill="1" applyBorder="1"/>
    <xf numFmtId="0" fontId="14" fillId="4" borderId="4" xfId="0" applyFont="1" applyFill="1" applyBorder="1" applyAlignment="1"/>
    <xf numFmtId="0" fontId="14" fillId="4" borderId="5" xfId="0" applyFont="1" applyFill="1" applyBorder="1"/>
    <xf numFmtId="0" fontId="17" fillId="4" borderId="4" xfId="0" applyFont="1" applyFill="1" applyBorder="1" applyAlignment="1">
      <alignment vertical="top"/>
    </xf>
    <xf numFmtId="0" fontId="17" fillId="4" borderId="4" xfId="0" applyFont="1" applyFill="1" applyBorder="1"/>
    <xf numFmtId="43" fontId="17" fillId="4" borderId="4" xfId="2" applyFont="1" applyFill="1" applyBorder="1"/>
    <xf numFmtId="0" fontId="17" fillId="4" borderId="4" xfId="0" applyFont="1" applyFill="1" applyBorder="1" applyAlignment="1">
      <alignment vertical="center"/>
    </xf>
    <xf numFmtId="0" fontId="17" fillId="4" borderId="4" xfId="0" applyFont="1" applyFill="1" applyBorder="1" applyAlignment="1"/>
    <xf numFmtId="0" fontId="17" fillId="4" borderId="0" xfId="0" applyFont="1" applyFill="1" applyBorder="1"/>
    <xf numFmtId="43" fontId="17" fillId="4" borderId="0" xfId="2" applyFont="1" applyFill="1" applyBorder="1"/>
    <xf numFmtId="0" fontId="17" fillId="4" borderId="0" xfId="0" applyFont="1" applyFill="1" applyBorder="1" applyAlignment="1">
      <alignment vertical="center"/>
    </xf>
    <xf numFmtId="0" fontId="17" fillId="4" borderId="0" xfId="0" applyFont="1" applyFill="1" applyBorder="1" applyAlignment="1"/>
    <xf numFmtId="0" fontId="15" fillId="4" borderId="0" xfId="0" applyFont="1" applyFill="1" applyBorder="1" applyAlignment="1">
      <alignment horizontal="right" vertical="top"/>
    </xf>
    <xf numFmtId="0" fontId="15" fillId="4" borderId="0" xfId="0" applyFont="1" applyFill="1" applyBorder="1" applyAlignment="1">
      <alignment vertical="top"/>
    </xf>
    <xf numFmtId="0" fontId="17" fillId="4" borderId="0" xfId="0" applyFont="1" applyFill="1" applyBorder="1" applyAlignment="1">
      <alignment horizontal="right"/>
    </xf>
    <xf numFmtId="43" fontId="17" fillId="4" borderId="0" xfId="2" applyFont="1" applyFill="1" applyBorder="1" applyAlignment="1">
      <alignment vertical="top"/>
    </xf>
    <xf numFmtId="0" fontId="17" fillId="4" borderId="0" xfId="0" applyFont="1" applyFill="1" applyBorder="1" applyAlignment="1" applyProtection="1">
      <alignment vertical="top" wrapText="1"/>
      <protection locked="0"/>
    </xf>
    <xf numFmtId="0" fontId="23" fillId="0" borderId="0" xfId="0" applyFont="1" applyAlignment="1">
      <alignment vertical="center"/>
    </xf>
    <xf numFmtId="0" fontId="15" fillId="4" borderId="0" xfId="0" applyFont="1" applyFill="1" applyBorder="1" applyAlignment="1">
      <alignment horizontal="center"/>
    </xf>
    <xf numFmtId="0" fontId="14" fillId="4" borderId="0" xfId="0" applyFont="1" applyFill="1" applyBorder="1" applyAlignment="1">
      <alignment horizontal="right" vertical="top"/>
    </xf>
    <xf numFmtId="0" fontId="14" fillId="4" borderId="0" xfId="0" applyFont="1" applyFill="1" applyAlignment="1">
      <alignment vertical="top"/>
    </xf>
    <xf numFmtId="0" fontId="14" fillId="4" borderId="0" xfId="0" applyFont="1" applyFill="1" applyProtection="1">
      <protection locked="0"/>
    </xf>
    <xf numFmtId="0" fontId="14" fillId="4" borderId="0" xfId="0" applyFont="1" applyFill="1" applyAlignment="1" applyProtection="1">
      <alignment vertical="top"/>
      <protection locked="0"/>
    </xf>
    <xf numFmtId="0" fontId="14" fillId="4" borderId="0" xfId="0" applyFont="1" applyFill="1" applyAlignment="1" applyProtection="1">
      <protection locked="0"/>
    </xf>
    <xf numFmtId="0" fontId="14" fillId="4" borderId="0" xfId="0" applyFont="1" applyFill="1" applyAlignment="1" applyProtection="1">
      <alignment horizontal="right" vertical="top"/>
      <protection locked="0"/>
    </xf>
    <xf numFmtId="0" fontId="15" fillId="4" borderId="0" xfId="0" applyFont="1" applyFill="1" applyBorder="1" applyAlignment="1"/>
    <xf numFmtId="0" fontId="15" fillId="4" borderId="0" xfId="1" applyNumberFormat="1" applyFont="1" applyFill="1" applyBorder="1" applyAlignment="1">
      <alignment vertical="center"/>
    </xf>
    <xf numFmtId="0" fontId="15" fillId="4" borderId="0" xfId="1" applyNumberFormat="1" applyFont="1" applyFill="1" applyBorder="1" applyAlignment="1">
      <alignment horizontal="centerContinuous" vertical="center"/>
    </xf>
    <xf numFmtId="0" fontId="15" fillId="4" borderId="0" xfId="1" applyNumberFormat="1" applyFont="1" applyFill="1" applyBorder="1" applyAlignment="1">
      <alignment horizontal="right" vertical="top"/>
    </xf>
    <xf numFmtId="0" fontId="19" fillId="7" borderId="7" xfId="0" applyFont="1" applyFill="1" applyBorder="1" applyAlignment="1">
      <alignment horizontal="centerContinuous"/>
    </xf>
    <xf numFmtId="0" fontId="18" fillId="7" borderId="8" xfId="0" applyFont="1" applyFill="1" applyBorder="1"/>
    <xf numFmtId="0" fontId="18" fillId="4" borderId="0" xfId="0" applyFont="1" applyFill="1" applyAlignment="1">
      <alignment vertical="top"/>
    </xf>
    <xf numFmtId="0" fontId="18" fillId="4" borderId="0" xfId="0" applyFont="1" applyFill="1" applyBorder="1"/>
    <xf numFmtId="165" fontId="19" fillId="7" borderId="0" xfId="2" applyNumberFormat="1" applyFont="1" applyFill="1" applyBorder="1" applyAlignment="1">
      <alignment horizontal="center"/>
    </xf>
    <xf numFmtId="0" fontId="18" fillId="7" borderId="2" xfId="0" applyFont="1" applyFill="1" applyBorder="1"/>
    <xf numFmtId="0" fontId="15" fillId="4" borderId="1" xfId="1" applyNumberFormat="1" applyFont="1" applyFill="1" applyBorder="1" applyAlignment="1">
      <alignment vertical="center"/>
    </xf>
    <xf numFmtId="0" fontId="14" fillId="4" borderId="1" xfId="0" applyFont="1" applyFill="1" applyBorder="1" applyAlignment="1">
      <alignment vertical="top"/>
    </xf>
    <xf numFmtId="166" fontId="17" fillId="4" borderId="0" xfId="2" applyNumberFormat="1" applyFont="1" applyFill="1" applyBorder="1" applyAlignment="1">
      <alignment vertical="top"/>
    </xf>
    <xf numFmtId="0" fontId="17" fillId="4" borderId="0" xfId="0" applyFont="1" applyFill="1" applyBorder="1" applyAlignment="1">
      <alignment vertical="top" wrapText="1"/>
    </xf>
    <xf numFmtId="0" fontId="17" fillId="4" borderId="0" xfId="0" applyFont="1" applyFill="1" applyBorder="1" applyAlignment="1">
      <alignment horizontal="left" vertical="top" wrapText="1"/>
    </xf>
    <xf numFmtId="3" fontId="17" fillId="4" borderId="0" xfId="2" applyNumberFormat="1" applyFont="1" applyFill="1" applyBorder="1" applyAlignment="1">
      <alignment vertical="top"/>
    </xf>
    <xf numFmtId="0" fontId="16" fillId="4" borderId="1" xfId="0" applyFont="1" applyFill="1" applyBorder="1" applyAlignment="1">
      <alignment vertical="top"/>
    </xf>
    <xf numFmtId="3" fontId="15" fillId="4" borderId="0" xfId="0" applyNumberFormat="1" applyFont="1" applyFill="1" applyBorder="1" applyAlignment="1" applyProtection="1">
      <alignment vertical="top"/>
    </xf>
    <xf numFmtId="0" fontId="16" fillId="4" borderId="0" xfId="0" applyFont="1" applyFill="1" applyBorder="1" applyAlignment="1">
      <alignment horizontal="right" vertical="top"/>
    </xf>
    <xf numFmtId="0" fontId="15" fillId="4" borderId="0" xfId="0" applyFont="1" applyFill="1" applyBorder="1" applyAlignment="1">
      <alignment horizontal="left" vertical="top" wrapText="1"/>
    </xf>
    <xf numFmtId="0" fontId="14" fillId="4" borderId="0" xfId="0" applyFont="1" applyFill="1" applyBorder="1" applyAlignment="1">
      <alignment vertical="top" wrapText="1"/>
    </xf>
    <xf numFmtId="0" fontId="15" fillId="4" borderId="0" xfId="0" applyFont="1" applyFill="1" applyBorder="1" applyAlignment="1">
      <alignment horizontal="left" vertical="top"/>
    </xf>
    <xf numFmtId="3" fontId="20" fillId="4" borderId="0" xfId="2" applyNumberFormat="1" applyFont="1" applyFill="1" applyBorder="1" applyAlignment="1">
      <alignment vertical="top"/>
    </xf>
    <xf numFmtId="0" fontId="17" fillId="4" borderId="0" xfId="0" applyFont="1" applyFill="1" applyBorder="1" applyAlignment="1">
      <alignment horizontal="left" vertical="top"/>
    </xf>
    <xf numFmtId="0" fontId="14" fillId="4" borderId="3" xfId="0" applyFont="1" applyFill="1" applyBorder="1" applyAlignment="1">
      <alignment vertical="top"/>
    </xf>
    <xf numFmtId="0" fontId="14" fillId="4" borderId="4" xfId="0" applyFont="1" applyFill="1" applyBorder="1" applyAlignment="1">
      <alignment vertical="top"/>
    </xf>
    <xf numFmtId="0" fontId="14" fillId="4" borderId="4" xfId="0" applyFont="1" applyFill="1" applyBorder="1" applyAlignment="1">
      <alignment horizontal="right" vertical="top"/>
    </xf>
    <xf numFmtId="43" fontId="17" fillId="4" borderId="0" xfId="2" applyFont="1" applyFill="1" applyBorder="1" applyAlignment="1">
      <alignment horizontal="right" vertical="top"/>
    </xf>
    <xf numFmtId="0" fontId="15" fillId="4" borderId="0" xfId="1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wrapText="1"/>
    </xf>
    <xf numFmtId="0" fontId="14" fillId="4" borderId="0" xfId="0" applyFont="1" applyFill="1" applyBorder="1" applyProtection="1">
      <protection locked="0"/>
    </xf>
    <xf numFmtId="0" fontId="14" fillId="4" borderId="0" xfId="0" applyFont="1" applyFill="1" applyAlignment="1" applyProtection="1">
      <alignment horizontal="right"/>
      <protection locked="0"/>
    </xf>
    <xf numFmtId="0" fontId="14" fillId="4" borderId="0" xfId="0" applyFont="1" applyFill="1" applyAlignment="1" applyProtection="1">
      <alignment wrapText="1"/>
      <protection locked="0"/>
    </xf>
    <xf numFmtId="0" fontId="14" fillId="4" borderId="0" xfId="0" applyFont="1" applyFill="1" applyBorder="1" applyAlignment="1">
      <alignment wrapText="1"/>
    </xf>
    <xf numFmtId="0" fontId="12" fillId="7" borderId="9" xfId="0" applyFont="1" applyFill="1" applyBorder="1" applyAlignment="1">
      <alignment horizontal="center" vertical="center"/>
    </xf>
    <xf numFmtId="0" fontId="15" fillId="4" borderId="0" xfId="3" applyFont="1" applyFill="1" applyBorder="1" applyAlignment="1">
      <alignment vertical="top"/>
    </xf>
    <xf numFmtId="0" fontId="25" fillId="4" borderId="0" xfId="3" applyFont="1" applyFill="1" applyBorder="1" applyAlignment="1">
      <alignment horizontal="center"/>
    </xf>
    <xf numFmtId="3" fontId="15" fillId="4" borderId="0" xfId="0" applyNumberFormat="1" applyFont="1" applyFill="1" applyBorder="1" applyAlignment="1" applyProtection="1">
      <alignment horizontal="right" vertical="top"/>
    </xf>
    <xf numFmtId="3" fontId="17" fillId="4" borderId="0" xfId="0" applyNumberFormat="1" applyFont="1" applyFill="1" applyBorder="1" applyAlignment="1" applyProtection="1">
      <alignment horizontal="right" vertical="top"/>
    </xf>
    <xf numFmtId="3" fontId="17" fillId="4" borderId="0" xfId="2" applyNumberFormat="1" applyFont="1" applyFill="1" applyBorder="1" applyAlignment="1" applyProtection="1">
      <alignment horizontal="right" vertical="top" wrapText="1"/>
    </xf>
    <xf numFmtId="0" fontId="25" fillId="4" borderId="0" xfId="3" applyFont="1" applyFill="1" applyBorder="1" applyAlignment="1" applyProtection="1">
      <alignment horizontal="center"/>
    </xf>
    <xf numFmtId="0" fontId="17" fillId="4" borderId="3" xfId="0" applyFont="1" applyFill="1" applyBorder="1" applyAlignment="1">
      <alignment horizontal="left" vertical="top"/>
    </xf>
    <xf numFmtId="3" fontId="17" fillId="4" borderId="4" xfId="2" applyNumberFormat="1" applyFont="1" applyFill="1" applyBorder="1" applyAlignment="1" applyProtection="1">
      <alignment horizontal="right" vertical="top" wrapText="1"/>
    </xf>
    <xf numFmtId="0" fontId="14" fillId="4" borderId="6" xfId="0" applyFont="1" applyFill="1" applyBorder="1"/>
    <xf numFmtId="0" fontId="17" fillId="4" borderId="4" xfId="0" applyFont="1" applyFill="1" applyBorder="1" applyAlignment="1">
      <alignment vertical="center" wrapText="1"/>
    </xf>
    <xf numFmtId="0" fontId="17" fillId="4" borderId="0" xfId="0" applyFont="1" applyFill="1" applyBorder="1" applyAlignment="1">
      <alignment vertical="center" wrapText="1"/>
    </xf>
    <xf numFmtId="0" fontId="17" fillId="4" borderId="0" xfId="0" applyFont="1" applyFill="1" applyBorder="1" applyAlignment="1">
      <alignment wrapText="1"/>
    </xf>
    <xf numFmtId="0" fontId="17" fillId="4" borderId="0" xfId="0" applyFont="1" applyFill="1" applyBorder="1" applyProtection="1">
      <protection locked="0"/>
    </xf>
    <xf numFmtId="43" fontId="17" fillId="4" borderId="0" xfId="2" applyFont="1" applyFill="1" applyBorder="1" applyProtection="1">
      <protection locked="0"/>
    </xf>
    <xf numFmtId="0" fontId="17" fillId="4" borderId="0" xfId="0" applyFont="1" applyFill="1" applyBorder="1" applyAlignment="1" applyProtection="1">
      <alignment vertical="center"/>
      <protection locked="0"/>
    </xf>
    <xf numFmtId="0" fontId="17" fillId="4" borderId="0" xfId="0" applyFont="1" applyFill="1" applyBorder="1" applyAlignment="1" applyProtection="1">
      <alignment wrapText="1"/>
      <protection locked="0"/>
    </xf>
    <xf numFmtId="0" fontId="14" fillId="4" borderId="0" xfId="0" applyFont="1" applyFill="1" applyAlignment="1">
      <alignment horizontal="center"/>
    </xf>
    <xf numFmtId="0" fontId="14" fillId="4" borderId="0" xfId="0" applyFont="1" applyFill="1" applyBorder="1" applyAlignment="1">
      <alignment horizontal="right"/>
    </xf>
    <xf numFmtId="0" fontId="17" fillId="4" borderId="0" xfId="0" applyNumberFormat="1" applyFont="1" applyFill="1" applyBorder="1" applyAlignment="1" applyProtection="1">
      <alignment horizontal="left"/>
    </xf>
    <xf numFmtId="0" fontId="19" fillId="7" borderId="11" xfId="3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 vertical="center" wrapText="1"/>
    </xf>
    <xf numFmtId="0" fontId="19" fillId="7" borderId="7" xfId="3" applyFont="1" applyFill="1" applyBorder="1" applyAlignment="1">
      <alignment horizontal="center" vertical="center" wrapText="1"/>
    </xf>
    <xf numFmtId="0" fontId="19" fillId="7" borderId="8" xfId="3" applyFont="1" applyFill="1" applyBorder="1" applyAlignment="1">
      <alignment horizontal="center" vertical="center" wrapText="1"/>
    </xf>
    <xf numFmtId="0" fontId="19" fillId="4" borderId="0" xfId="0" applyFont="1" applyFill="1" applyBorder="1"/>
    <xf numFmtId="0" fontId="19" fillId="7" borderId="3" xfId="3" applyFont="1" applyFill="1" applyBorder="1" applyAlignment="1">
      <alignment horizontal="center" vertical="center" wrapText="1"/>
    </xf>
    <xf numFmtId="0" fontId="19" fillId="7" borderId="4" xfId="0" applyFont="1" applyFill="1" applyBorder="1" applyAlignment="1">
      <alignment horizontal="center" vertical="center" wrapText="1"/>
    </xf>
    <xf numFmtId="0" fontId="19" fillId="7" borderId="4" xfId="3" applyFont="1" applyFill="1" applyBorder="1" applyAlignment="1">
      <alignment horizontal="center" vertical="center" wrapText="1"/>
    </xf>
    <xf numFmtId="0" fontId="19" fillId="7" borderId="5" xfId="3" applyFont="1" applyFill="1" applyBorder="1" applyAlignment="1">
      <alignment horizontal="center" vertical="center" wrapText="1"/>
    </xf>
    <xf numFmtId="3" fontId="16" fillId="4" borderId="0" xfId="0" applyNumberFormat="1" applyFont="1" applyFill="1" applyBorder="1" applyAlignment="1">
      <alignment vertical="top"/>
    </xf>
    <xf numFmtId="0" fontId="16" fillId="4" borderId="2" xfId="0" applyFont="1" applyFill="1" applyBorder="1" applyAlignment="1">
      <alignment vertical="top"/>
    </xf>
    <xf numFmtId="0" fontId="16" fillId="4" borderId="0" xfId="0" applyFont="1" applyFill="1" applyBorder="1" applyAlignment="1">
      <alignment vertical="top"/>
    </xf>
    <xf numFmtId="0" fontId="26" fillId="4" borderId="1" xfId="0" applyFont="1" applyFill="1" applyBorder="1" applyAlignment="1">
      <alignment vertical="top"/>
    </xf>
    <xf numFmtId="3" fontId="16" fillId="4" borderId="0" xfId="2" applyNumberFormat="1" applyFont="1" applyFill="1" applyBorder="1" applyAlignment="1">
      <alignment vertical="top"/>
    </xf>
    <xf numFmtId="0" fontId="26" fillId="4" borderId="2" xfId="0" applyFont="1" applyFill="1" applyBorder="1" applyAlignment="1">
      <alignment vertical="top"/>
    </xf>
    <xf numFmtId="0" fontId="12" fillId="4" borderId="0" xfId="0" applyFont="1" applyFill="1"/>
    <xf numFmtId="3" fontId="14" fillId="4" borderId="0" xfId="0" applyNumberFormat="1" applyFont="1" applyFill="1" applyBorder="1" applyAlignment="1">
      <alignment vertical="top"/>
    </xf>
    <xf numFmtId="0" fontId="14" fillId="4" borderId="0" xfId="0" applyFont="1" applyFill="1" applyBorder="1" applyAlignment="1">
      <alignment horizontal="left" vertical="top"/>
    </xf>
    <xf numFmtId="3" fontId="14" fillId="4" borderId="0" xfId="2" applyNumberFormat="1" applyFont="1" applyFill="1" applyBorder="1" applyAlignment="1">
      <alignment vertical="top"/>
    </xf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vertical="center"/>
    </xf>
    <xf numFmtId="0" fontId="14" fillId="4" borderId="0" xfId="0" applyFont="1" applyFill="1" applyBorder="1" applyAlignment="1" applyProtection="1">
      <alignment vertical="top"/>
      <protection locked="0"/>
    </xf>
    <xf numFmtId="0" fontId="14" fillId="4" borderId="0" xfId="0" applyFont="1" applyFill="1" applyBorder="1" applyAlignment="1" applyProtection="1">
      <protection locked="0"/>
    </xf>
    <xf numFmtId="0" fontId="14" fillId="4" borderId="0" xfId="0" applyFont="1" applyFill="1" applyBorder="1" applyAlignment="1" applyProtection="1"/>
    <xf numFmtId="0" fontId="14" fillId="4" borderId="0" xfId="0" applyFont="1" applyFill="1" applyProtection="1"/>
    <xf numFmtId="0" fontId="14" fillId="4" borderId="0" xfId="0" applyFont="1" applyFill="1" applyBorder="1" applyProtection="1"/>
    <xf numFmtId="0" fontId="14" fillId="4" borderId="0" xfId="0" applyFont="1" applyFill="1" applyBorder="1" applyAlignment="1" applyProtection="1">
      <alignment vertical="top"/>
    </xf>
    <xf numFmtId="0" fontId="15" fillId="4" borderId="0" xfId="3" applyFont="1" applyFill="1" applyBorder="1" applyAlignment="1" applyProtection="1"/>
    <xf numFmtId="0" fontId="15" fillId="4" borderId="0" xfId="1" applyNumberFormat="1" applyFont="1" applyFill="1" applyBorder="1" applyAlignment="1" applyProtection="1">
      <alignment horizontal="centerContinuous" vertical="center"/>
    </xf>
    <xf numFmtId="0" fontId="15" fillId="4" borderId="0" xfId="0" applyFont="1" applyFill="1" applyBorder="1" applyAlignment="1" applyProtection="1">
      <alignment horizontal="centerContinuous"/>
    </xf>
    <xf numFmtId="0" fontId="15" fillId="4" borderId="0" xfId="0" applyFont="1" applyFill="1" applyBorder="1" applyAlignment="1" applyProtection="1"/>
    <xf numFmtId="164" fontId="17" fillId="4" borderId="0" xfId="1" applyFont="1" applyFill="1" applyBorder="1" applyProtection="1"/>
    <xf numFmtId="0" fontId="19" fillId="7" borderId="9" xfId="3" applyFont="1" applyFill="1" applyBorder="1" applyAlignment="1" applyProtection="1">
      <alignment horizontal="center" vertical="center" wrapText="1"/>
    </xf>
    <xf numFmtId="0" fontId="19" fillId="7" borderId="6" xfId="3" applyFont="1" applyFill="1" applyBorder="1" applyAlignment="1" applyProtection="1">
      <alignment horizontal="center" vertical="center" wrapText="1"/>
    </xf>
    <xf numFmtId="0" fontId="19" fillId="7" borderId="6" xfId="0" applyFont="1" applyFill="1" applyBorder="1" applyAlignment="1" applyProtection="1">
      <alignment horizontal="center" vertical="center" wrapText="1"/>
    </xf>
    <xf numFmtId="0" fontId="19" fillId="7" borderId="10" xfId="3" applyFont="1" applyFill="1" applyBorder="1" applyAlignment="1" applyProtection="1">
      <alignment horizontal="center" vertical="center" wrapText="1"/>
    </xf>
    <xf numFmtId="0" fontId="15" fillId="4" borderId="1" xfId="1" applyNumberFormat="1" applyFont="1" applyFill="1" applyBorder="1" applyAlignment="1" applyProtection="1">
      <alignment horizontal="centerContinuous" vertical="center"/>
    </xf>
    <xf numFmtId="0" fontId="15" fillId="4" borderId="1" xfId="1" applyNumberFormat="1" applyFont="1" applyFill="1" applyBorder="1" applyAlignment="1" applyProtection="1">
      <alignment vertical="center"/>
    </xf>
    <xf numFmtId="0" fontId="15" fillId="4" borderId="0" xfId="1" applyNumberFormat="1" applyFont="1" applyFill="1" applyBorder="1" applyAlignment="1" applyProtection="1">
      <alignment vertical="top"/>
    </xf>
    <xf numFmtId="0" fontId="15" fillId="4" borderId="2" xfId="1" applyNumberFormat="1" applyFont="1" applyFill="1" applyBorder="1" applyAlignment="1" applyProtection="1">
      <alignment vertical="top"/>
    </xf>
    <xf numFmtId="0" fontId="16" fillId="4" borderId="1" xfId="0" applyFont="1" applyFill="1" applyBorder="1" applyAlignment="1" applyProtection="1"/>
    <xf numFmtId="0" fontId="15" fillId="4" borderId="0" xfId="0" applyFont="1" applyFill="1" applyBorder="1" applyAlignment="1" applyProtection="1">
      <alignment vertical="top"/>
    </xf>
    <xf numFmtId="0" fontId="15" fillId="4" borderId="2" xfId="0" applyFont="1" applyFill="1" applyBorder="1" applyAlignment="1" applyProtection="1">
      <alignment vertical="top"/>
    </xf>
    <xf numFmtId="3" fontId="15" fillId="4" borderId="0" xfId="0" applyNumberFormat="1" applyFont="1" applyFill="1" applyBorder="1" applyAlignment="1" applyProtection="1">
      <alignment horizontal="center" vertical="top"/>
      <protection locked="0"/>
    </xf>
    <xf numFmtId="0" fontId="16" fillId="4" borderId="2" xfId="0" applyFont="1" applyFill="1" applyBorder="1" applyAlignment="1" applyProtection="1">
      <alignment vertical="top"/>
    </xf>
    <xf numFmtId="0" fontId="14" fillId="4" borderId="1" xfId="0" applyFont="1" applyFill="1" applyBorder="1" applyAlignment="1" applyProtection="1"/>
    <xf numFmtId="0" fontId="25" fillId="4" borderId="0" xfId="0" applyFont="1" applyFill="1" applyBorder="1" applyAlignment="1" applyProtection="1">
      <alignment vertical="top"/>
    </xf>
    <xf numFmtId="3" fontId="17" fillId="4" borderId="0" xfId="0" applyNumberFormat="1" applyFont="1" applyFill="1" applyBorder="1" applyAlignment="1" applyProtection="1">
      <alignment horizontal="center" vertical="top"/>
      <protection locked="0"/>
    </xf>
    <xf numFmtId="3" fontId="17" fillId="4" borderId="0" xfId="0" applyNumberFormat="1" applyFont="1" applyFill="1" applyBorder="1" applyAlignment="1" applyProtection="1">
      <alignment horizontal="right" vertical="top"/>
      <protection locked="0"/>
    </xf>
    <xf numFmtId="0" fontId="14" fillId="4" borderId="2" xfId="0" applyFont="1" applyFill="1" applyBorder="1" applyAlignment="1" applyProtection="1">
      <alignment vertical="top"/>
    </xf>
    <xf numFmtId="0" fontId="17" fillId="4" borderId="0" xfId="0" applyFont="1" applyFill="1" applyBorder="1" applyAlignment="1" applyProtection="1">
      <alignment vertical="top"/>
    </xf>
    <xf numFmtId="0" fontId="15" fillId="4" borderId="0" xfId="0" applyFont="1" applyFill="1" applyBorder="1" applyAlignment="1" applyProtection="1">
      <alignment horizontal="center" vertical="top"/>
      <protection locked="0"/>
    </xf>
    <xf numFmtId="0" fontId="15" fillId="4" borderId="0" xfId="0" applyFont="1" applyFill="1" applyBorder="1" applyAlignment="1" applyProtection="1">
      <alignment horizontal="right" vertical="top"/>
      <protection locked="0"/>
    </xf>
    <xf numFmtId="0" fontId="17" fillId="4" borderId="0" xfId="0" applyNumberFormat="1" applyFont="1" applyFill="1" applyBorder="1" applyAlignment="1" applyProtection="1">
      <alignment horizontal="right" vertical="top"/>
      <protection locked="0"/>
    </xf>
    <xf numFmtId="0" fontId="15" fillId="4" borderId="0" xfId="0" applyFont="1" applyFill="1" applyBorder="1" applyAlignment="1" applyProtection="1">
      <alignment horizontal="center" vertical="top"/>
    </xf>
    <xf numFmtId="0" fontId="15" fillId="4" borderId="0" xfId="0" applyFont="1" applyFill="1" applyBorder="1" applyAlignment="1" applyProtection="1">
      <alignment horizontal="right" vertical="top"/>
    </xf>
    <xf numFmtId="0" fontId="26" fillId="4" borderId="1" xfId="0" applyFont="1" applyFill="1" applyBorder="1" applyAlignment="1" applyProtection="1"/>
    <xf numFmtId="0" fontId="21" fillId="4" borderId="0" xfId="0" applyFont="1" applyFill="1" applyBorder="1" applyAlignment="1" applyProtection="1">
      <alignment vertical="top"/>
    </xf>
    <xf numFmtId="3" fontId="21" fillId="4" borderId="0" xfId="0" applyNumberFormat="1" applyFont="1" applyFill="1" applyBorder="1" applyAlignment="1" applyProtection="1">
      <alignment horizontal="center" vertical="top"/>
      <protection locked="0"/>
    </xf>
    <xf numFmtId="3" fontId="21" fillId="4" borderId="0" xfId="0" applyNumberFormat="1" applyFont="1" applyFill="1" applyBorder="1" applyAlignment="1" applyProtection="1">
      <alignment horizontal="right" vertical="top"/>
    </xf>
    <xf numFmtId="0" fontId="26" fillId="4" borderId="2" xfId="0" applyFont="1" applyFill="1" applyBorder="1" applyAlignment="1" applyProtection="1">
      <alignment vertical="top"/>
    </xf>
    <xf numFmtId="0" fontId="15" fillId="4" borderId="0" xfId="0" applyFont="1" applyFill="1" applyBorder="1" applyAlignment="1" applyProtection="1">
      <alignment horizontal="left" vertical="top"/>
    </xf>
    <xf numFmtId="0" fontId="14" fillId="4" borderId="0" xfId="0" applyFont="1" applyFill="1" applyBorder="1" applyAlignment="1" applyProtection="1">
      <alignment horizontal="center" vertical="top"/>
      <protection locked="0"/>
    </xf>
    <xf numFmtId="3" fontId="21" fillId="4" borderId="0" xfId="0" applyNumberFormat="1" applyFont="1" applyFill="1" applyBorder="1" applyAlignment="1" applyProtection="1">
      <alignment horizontal="center" vertical="top"/>
    </xf>
    <xf numFmtId="3" fontId="15" fillId="4" borderId="0" xfId="0" applyNumberFormat="1" applyFont="1" applyFill="1" applyBorder="1" applyAlignment="1" applyProtection="1">
      <alignment horizontal="right" vertical="top"/>
      <protection locked="0"/>
    </xf>
    <xf numFmtId="0" fontId="26" fillId="4" borderId="3" xfId="0" applyFont="1" applyFill="1" applyBorder="1" applyAlignment="1" applyProtection="1"/>
    <xf numFmtId="0" fontId="21" fillId="4" borderId="4" xfId="0" applyFont="1" applyFill="1" applyBorder="1" applyAlignment="1" applyProtection="1">
      <alignment vertical="top"/>
    </xf>
    <xf numFmtId="3" fontId="21" fillId="4" borderId="4" xfId="0" applyNumberFormat="1" applyFont="1" applyFill="1" applyBorder="1" applyAlignment="1" applyProtection="1">
      <alignment horizontal="center" vertical="top"/>
    </xf>
    <xf numFmtId="3" fontId="21" fillId="4" borderId="4" xfId="0" applyNumberFormat="1" applyFont="1" applyFill="1" applyBorder="1" applyAlignment="1" applyProtection="1">
      <alignment horizontal="right" vertical="top"/>
    </xf>
    <xf numFmtId="0" fontId="26" fillId="4" borderId="5" xfId="0" applyFont="1" applyFill="1" applyBorder="1" applyAlignment="1" applyProtection="1">
      <alignment vertical="top"/>
    </xf>
    <xf numFmtId="3" fontId="15" fillId="4" borderId="0" xfId="0" applyNumberFormat="1" applyFont="1" applyFill="1" applyBorder="1" applyAlignment="1" applyProtection="1">
      <alignment horizontal="center" vertical="center"/>
    </xf>
    <xf numFmtId="3" fontId="15" fillId="4" borderId="0" xfId="0" applyNumberFormat="1" applyFont="1" applyFill="1" applyBorder="1" applyAlignment="1" applyProtection="1">
      <alignment vertical="center"/>
    </xf>
    <xf numFmtId="0" fontId="17" fillId="4" borderId="0" xfId="0" applyFont="1" applyFill="1" applyBorder="1" applyAlignment="1" applyProtection="1"/>
    <xf numFmtId="0" fontId="17" fillId="4" borderId="0" xfId="0" applyFont="1" applyFill="1" applyBorder="1" applyProtection="1"/>
    <xf numFmtId="43" fontId="17" fillId="4" borderId="0" xfId="2" applyFont="1" applyFill="1" applyBorder="1" applyProtection="1"/>
    <xf numFmtId="0" fontId="17" fillId="4" borderId="0" xfId="0" applyFont="1" applyFill="1" applyBorder="1" applyAlignment="1" applyProtection="1">
      <alignment vertical="center"/>
    </xf>
    <xf numFmtId="0" fontId="12" fillId="4" borderId="0" xfId="0" applyFont="1" applyFill="1" applyBorder="1" applyAlignment="1" applyProtection="1">
      <alignment horizontal="right"/>
    </xf>
    <xf numFmtId="0" fontId="17" fillId="4" borderId="0" xfId="0" applyFont="1" applyFill="1" applyBorder="1" applyAlignment="1" applyProtection="1">
      <alignment horizontal="right"/>
    </xf>
    <xf numFmtId="43" fontId="17" fillId="4" borderId="0" xfId="2" applyFont="1" applyFill="1" applyBorder="1" applyAlignment="1" applyProtection="1">
      <alignment vertical="top"/>
    </xf>
    <xf numFmtId="0" fontId="15" fillId="4" borderId="0" xfId="3" applyFont="1" applyFill="1" applyBorder="1" applyAlignment="1" applyProtection="1">
      <alignment horizontal="center"/>
    </xf>
    <xf numFmtId="0" fontId="17" fillId="4" borderId="0" xfId="0" applyFont="1" applyFill="1"/>
    <xf numFmtId="0" fontId="17" fillId="4" borderId="0" xfId="0" applyFont="1" applyFill="1" applyAlignment="1">
      <alignment wrapText="1"/>
    </xf>
    <xf numFmtId="43" fontId="17" fillId="4" borderId="0" xfId="2" applyNumberFormat="1" applyFont="1" applyFill="1" applyAlignment="1">
      <alignment horizontal="center"/>
    </xf>
    <xf numFmtId="165" fontId="19" fillId="7" borderId="9" xfId="2" applyNumberFormat="1" applyFont="1" applyFill="1" applyBorder="1" applyAlignment="1">
      <alignment horizontal="center" vertical="center" wrapText="1"/>
    </xf>
    <xf numFmtId="165" fontId="19" fillId="7" borderId="6" xfId="2" applyNumberFormat="1" applyFont="1" applyFill="1" applyBorder="1" applyAlignment="1">
      <alignment horizontal="center" vertical="center" wrapText="1"/>
    </xf>
    <xf numFmtId="165" fontId="19" fillId="7" borderId="10" xfId="2" applyNumberFormat="1" applyFont="1" applyFill="1" applyBorder="1" applyAlignment="1">
      <alignment horizontal="center" vertical="center" wrapText="1"/>
    </xf>
    <xf numFmtId="0" fontId="15" fillId="4" borderId="1" xfId="1" applyNumberFormat="1" applyFont="1" applyFill="1" applyBorder="1" applyAlignment="1">
      <alignment horizontal="centerContinuous" vertical="center"/>
    </xf>
    <xf numFmtId="0" fontId="15" fillId="4" borderId="2" xfId="1" applyNumberFormat="1" applyFont="1" applyFill="1" applyBorder="1" applyAlignment="1">
      <alignment horizontal="centerContinuous" vertical="center"/>
    </xf>
    <xf numFmtId="0" fontId="27" fillId="4" borderId="0" xfId="0" applyFont="1" applyFill="1" applyBorder="1" applyAlignment="1">
      <alignment horizontal="left" vertical="top"/>
    </xf>
    <xf numFmtId="0" fontId="15" fillId="4" borderId="2" xfId="0" applyFont="1" applyFill="1" applyBorder="1" applyAlignment="1">
      <alignment vertical="top" wrapText="1"/>
    </xf>
    <xf numFmtId="3" fontId="16" fillId="4" borderId="0" xfId="0" applyNumberFormat="1" applyFont="1" applyFill="1" applyBorder="1" applyAlignment="1" applyProtection="1">
      <alignment horizontal="right" vertical="top"/>
      <protection locked="0"/>
    </xf>
    <xf numFmtId="3" fontId="16" fillId="4" borderId="0" xfId="0" applyNumberFormat="1" applyFont="1" applyFill="1" applyBorder="1" applyAlignment="1" applyProtection="1">
      <alignment horizontal="right" vertical="top"/>
    </xf>
    <xf numFmtId="0" fontId="16" fillId="4" borderId="0" xfId="0" applyFont="1" applyFill="1" applyBorder="1" applyAlignment="1">
      <alignment horizontal="left" vertical="top" wrapText="1"/>
    </xf>
    <xf numFmtId="3" fontId="14" fillId="4" borderId="0" xfId="0" applyNumberFormat="1" applyFont="1" applyFill="1" applyBorder="1" applyAlignment="1">
      <alignment horizontal="right" vertical="top"/>
    </xf>
    <xf numFmtId="3" fontId="16" fillId="4" borderId="0" xfId="0" applyNumberFormat="1" applyFont="1" applyFill="1" applyBorder="1" applyAlignment="1">
      <alignment horizontal="right" vertical="top"/>
    </xf>
    <xf numFmtId="3" fontId="14" fillId="4" borderId="0" xfId="0" applyNumberFormat="1" applyFont="1" applyFill="1" applyBorder="1" applyAlignment="1" applyProtection="1">
      <alignment horizontal="right" vertical="top"/>
      <protection locked="0"/>
    </xf>
    <xf numFmtId="3" fontId="16" fillId="4" borderId="14" xfId="0" applyNumberFormat="1" applyFont="1" applyFill="1" applyBorder="1" applyAlignment="1">
      <alignment horizontal="right" vertical="top"/>
    </xf>
    <xf numFmtId="0" fontId="12" fillId="4" borderId="0" xfId="0" applyFont="1" applyFill="1" applyAlignment="1">
      <alignment horizontal="center"/>
    </xf>
    <xf numFmtId="0" fontId="16" fillId="4" borderId="3" xfId="0" applyFont="1" applyFill="1" applyBorder="1" applyAlignment="1">
      <alignment vertical="top"/>
    </xf>
    <xf numFmtId="3" fontId="16" fillId="4" borderId="4" xfId="0" applyNumberFormat="1" applyFont="1" applyFill="1" applyBorder="1" applyAlignment="1">
      <alignment horizontal="right" vertical="top"/>
    </xf>
    <xf numFmtId="0" fontId="15" fillId="4" borderId="5" xfId="0" applyFont="1" applyFill="1" applyBorder="1" applyAlignment="1">
      <alignment vertical="top" wrapText="1"/>
    </xf>
    <xf numFmtId="0" fontId="14" fillId="4" borderId="6" xfId="0" applyFont="1" applyFill="1" applyBorder="1" applyAlignment="1">
      <alignment vertical="top"/>
    </xf>
    <xf numFmtId="0" fontId="15" fillId="4" borderId="6" xfId="0" applyFont="1" applyFill="1" applyBorder="1" applyAlignment="1">
      <alignment vertical="top" wrapText="1"/>
    </xf>
    <xf numFmtId="0" fontId="17" fillId="4" borderId="0" xfId="0" applyNumberFormat="1" applyFont="1" applyFill="1" applyBorder="1" applyAlignment="1" applyProtection="1">
      <protection locked="0"/>
    </xf>
    <xf numFmtId="0" fontId="14" fillId="4" borderId="0" xfId="0" applyFont="1" applyFill="1" applyBorder="1" applyAlignment="1">
      <alignment horizontal="centerContinuous"/>
    </xf>
    <xf numFmtId="0" fontId="15" fillId="4" borderId="0" xfId="3" applyFont="1" applyFill="1" applyBorder="1" applyAlignment="1">
      <alignment horizontal="center" vertical="top"/>
    </xf>
    <xf numFmtId="0" fontId="17" fillId="4" borderId="0" xfId="3" applyFont="1" applyFill="1" applyBorder="1" applyAlignment="1">
      <alignment horizontal="centerContinuous" vertical="center"/>
    </xf>
    <xf numFmtId="0" fontId="17" fillId="4" borderId="0" xfId="3" applyFont="1" applyFill="1" applyBorder="1" applyAlignment="1">
      <alignment horizontal="center" vertical="top"/>
    </xf>
    <xf numFmtId="0" fontId="18" fillId="7" borderId="9" xfId="0" applyFont="1" applyFill="1" applyBorder="1" applyAlignment="1">
      <alignment vertical="center"/>
    </xf>
    <xf numFmtId="0" fontId="18" fillId="7" borderId="6" xfId="0" applyFont="1" applyFill="1" applyBorder="1" applyAlignment="1">
      <alignment vertical="center"/>
    </xf>
    <xf numFmtId="0" fontId="18" fillId="7" borderId="10" xfId="0" applyFont="1" applyFill="1" applyBorder="1"/>
    <xf numFmtId="0" fontId="17" fillId="4" borderId="0" xfId="3" applyFont="1" applyFill="1" applyBorder="1" applyAlignment="1">
      <alignment vertical="top"/>
    </xf>
    <xf numFmtId="3" fontId="17" fillId="4" borderId="0" xfId="3" applyNumberFormat="1" applyFont="1" applyFill="1" applyBorder="1" applyAlignment="1">
      <alignment vertical="top"/>
    </xf>
    <xf numFmtId="3" fontId="15" fillId="4" borderId="0" xfId="3" applyNumberFormat="1" applyFont="1" applyFill="1" applyBorder="1" applyAlignment="1">
      <alignment vertical="top"/>
    </xf>
    <xf numFmtId="3" fontId="17" fillId="4" borderId="0" xfId="3" applyNumberFormat="1" applyFont="1" applyFill="1" applyBorder="1" applyAlignment="1" applyProtection="1">
      <alignment vertical="top"/>
      <protection locked="0"/>
    </xf>
    <xf numFmtId="0" fontId="17" fillId="4" borderId="0" xfId="3" applyFont="1" applyFill="1" applyBorder="1" applyAlignment="1">
      <alignment horizontal="left" vertical="top"/>
    </xf>
    <xf numFmtId="0" fontId="15" fillId="4" borderId="0" xfId="3" applyFont="1" applyFill="1" applyBorder="1" applyAlignment="1">
      <alignment horizontal="left" vertical="top"/>
    </xf>
    <xf numFmtId="3" fontId="15" fillId="4" borderId="0" xfId="3" applyNumberFormat="1" applyFont="1" applyFill="1" applyBorder="1" applyAlignment="1">
      <alignment horizontal="right" vertical="top" wrapText="1"/>
    </xf>
    <xf numFmtId="0" fontId="14" fillId="4" borderId="1" xfId="0" applyFont="1" applyFill="1" applyBorder="1" applyAlignment="1">
      <alignment horizontal="left" vertical="top" wrapText="1"/>
    </xf>
    <xf numFmtId="0" fontId="14" fillId="4" borderId="0" xfId="0" applyFont="1" applyFill="1" applyBorder="1" applyAlignment="1">
      <alignment horizontal="left" vertical="top" wrapText="1"/>
    </xf>
    <xf numFmtId="0" fontId="14" fillId="4" borderId="2" xfId="0" applyFont="1" applyFill="1" applyBorder="1" applyAlignment="1">
      <alignment horizontal="left" wrapText="1"/>
    </xf>
    <xf numFmtId="0" fontId="14" fillId="4" borderId="0" xfId="0" applyFont="1" applyFill="1" applyAlignment="1">
      <alignment horizontal="left" wrapText="1"/>
    </xf>
    <xf numFmtId="0" fontId="15" fillId="4" borderId="4" xfId="3" applyFont="1" applyFill="1" applyBorder="1" applyAlignment="1">
      <alignment vertical="top"/>
    </xf>
    <xf numFmtId="3" fontId="17" fillId="4" borderId="4" xfId="3" applyNumberFormat="1" applyFont="1" applyFill="1" applyBorder="1" applyAlignment="1">
      <alignment vertical="top"/>
    </xf>
    <xf numFmtId="0" fontId="15" fillId="4" borderId="0" xfId="0" applyFont="1" applyFill="1" applyBorder="1" applyAlignment="1" applyProtection="1">
      <alignment horizontal="center"/>
    </xf>
    <xf numFmtId="0" fontId="14" fillId="0" borderId="0" xfId="0" applyFont="1"/>
    <xf numFmtId="0" fontId="16" fillId="4" borderId="0" xfId="4" applyFont="1" applyFill="1"/>
    <xf numFmtId="0" fontId="16" fillId="4" borderId="0" xfId="4" applyFont="1" applyFill="1" applyAlignment="1">
      <alignment horizontal="center"/>
    </xf>
    <xf numFmtId="0" fontId="16" fillId="4" borderId="0" xfId="4" applyFont="1" applyFill="1" applyAlignment="1"/>
    <xf numFmtId="37" fontId="19" fillId="8" borderId="16" xfId="4" applyNumberFormat="1" applyFont="1" applyFill="1" applyBorder="1" applyAlignment="1">
      <alignment horizontal="center" vertical="center"/>
    </xf>
    <xf numFmtId="37" fontId="19" fillId="8" borderId="16" xfId="4" applyNumberFormat="1" applyFont="1" applyFill="1" applyBorder="1" applyAlignment="1">
      <alignment horizontal="center" wrapText="1"/>
    </xf>
    <xf numFmtId="0" fontId="14" fillId="4" borderId="0" xfId="4" applyFont="1" applyFill="1"/>
    <xf numFmtId="0" fontId="28" fillId="4" borderId="11" xfId="4" applyFont="1" applyFill="1" applyBorder="1"/>
    <xf numFmtId="0" fontId="28" fillId="4" borderId="7" xfId="4" applyFont="1" applyFill="1" applyBorder="1"/>
    <xf numFmtId="0" fontId="28" fillId="4" borderId="8" xfId="4" applyFont="1" applyFill="1" applyBorder="1"/>
    <xf numFmtId="0" fontId="28" fillId="4" borderId="17" xfId="4" applyFont="1" applyFill="1" applyBorder="1" applyAlignment="1">
      <alignment horizontal="center"/>
    </xf>
    <xf numFmtId="0" fontId="28" fillId="4" borderId="1" xfId="4" applyFont="1" applyFill="1" applyBorder="1" applyAlignment="1">
      <alignment horizontal="center" vertical="center"/>
    </xf>
    <xf numFmtId="0" fontId="30" fillId="4" borderId="0" xfId="4" applyFont="1" applyFill="1"/>
    <xf numFmtId="0" fontId="28" fillId="4" borderId="3" xfId="4" applyFont="1" applyFill="1" applyBorder="1" applyAlignment="1">
      <alignment horizontal="center" vertical="center"/>
    </xf>
    <xf numFmtId="0" fontId="28" fillId="4" borderId="4" xfId="4" applyFont="1" applyFill="1" applyBorder="1" applyAlignment="1">
      <alignment horizontal="center" vertical="center"/>
    </xf>
    <xf numFmtId="0" fontId="28" fillId="4" borderId="5" xfId="4" applyFont="1" applyFill="1" applyBorder="1" applyAlignment="1">
      <alignment wrapText="1"/>
    </xf>
    <xf numFmtId="167" fontId="28" fillId="4" borderId="19" xfId="5" applyNumberFormat="1" applyFont="1" applyFill="1" applyBorder="1" applyAlignment="1">
      <alignment horizontal="center"/>
    </xf>
    <xf numFmtId="0" fontId="30" fillId="4" borderId="9" xfId="4" applyFont="1" applyFill="1" applyBorder="1" applyAlignment="1">
      <alignment horizontal="centerContinuous"/>
    </xf>
    <xf numFmtId="0" fontId="30" fillId="4" borderId="6" xfId="4" applyFont="1" applyFill="1" applyBorder="1" applyAlignment="1">
      <alignment horizontal="centerContinuous"/>
    </xf>
    <xf numFmtId="0" fontId="30" fillId="4" borderId="10" xfId="4" applyFont="1" applyFill="1" applyBorder="1" applyAlignment="1">
      <alignment horizontal="left" wrapText="1"/>
    </xf>
    <xf numFmtId="0" fontId="17" fillId="4" borderId="7" xfId="0" applyFont="1" applyFill="1" applyBorder="1" applyAlignment="1">
      <alignment vertical="top" wrapText="1"/>
    </xf>
    <xf numFmtId="0" fontId="30" fillId="4" borderId="1" xfId="4" applyFont="1" applyFill="1" applyBorder="1" applyAlignment="1">
      <alignment horizontal="left"/>
    </xf>
    <xf numFmtId="0" fontId="30" fillId="4" borderId="0" xfId="4" applyFont="1" applyFill="1" applyBorder="1" applyAlignment="1">
      <alignment horizontal="left"/>
    </xf>
    <xf numFmtId="0" fontId="29" fillId="4" borderId="2" xfId="0" applyFont="1" applyFill="1" applyBorder="1" applyAlignment="1">
      <alignment vertical="center" wrapText="1"/>
    </xf>
    <xf numFmtId="0" fontId="30" fillId="4" borderId="1" xfId="4" applyFont="1" applyFill="1" applyBorder="1" applyAlignment="1">
      <alignment horizontal="center" vertical="center"/>
    </xf>
    <xf numFmtId="0" fontId="16" fillId="4" borderId="0" xfId="0" applyFont="1" applyFill="1" applyBorder="1"/>
    <xf numFmtId="0" fontId="16" fillId="4" borderId="2" xfId="0" applyFont="1" applyFill="1" applyBorder="1"/>
    <xf numFmtId="0" fontId="16" fillId="4" borderId="0" xfId="0" applyFont="1" applyFill="1"/>
    <xf numFmtId="0" fontId="16" fillId="0" borderId="0" xfId="0" applyFont="1"/>
    <xf numFmtId="0" fontId="28" fillId="4" borderId="0" xfId="4" applyFont="1" applyFill="1" applyBorder="1" applyAlignment="1">
      <alignment horizontal="center" vertical="center"/>
    </xf>
    <xf numFmtId="0" fontId="30" fillId="4" borderId="10" xfId="4" applyFont="1" applyFill="1" applyBorder="1" applyAlignment="1">
      <alignment horizontal="left" wrapText="1" indent="1"/>
    </xf>
    <xf numFmtId="0" fontId="32" fillId="4" borderId="0" xfId="0" applyFont="1" applyFill="1"/>
    <xf numFmtId="0" fontId="19" fillId="8" borderId="16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justify" vertical="center" wrapText="1"/>
    </xf>
    <xf numFmtId="0" fontId="14" fillId="4" borderId="2" xfId="0" applyFont="1" applyFill="1" applyBorder="1" applyAlignment="1">
      <alignment horizontal="justify" vertical="center" wrapText="1"/>
    </xf>
    <xf numFmtId="0" fontId="14" fillId="4" borderId="1" xfId="0" applyFont="1" applyFill="1" applyBorder="1" applyAlignment="1">
      <alignment horizontal="justify" vertical="top" wrapText="1"/>
    </xf>
    <xf numFmtId="0" fontId="14" fillId="4" borderId="3" xfId="0" applyFont="1" applyFill="1" applyBorder="1" applyAlignment="1">
      <alignment horizontal="justify" vertical="top" wrapText="1"/>
    </xf>
    <xf numFmtId="0" fontId="14" fillId="4" borderId="5" xfId="0" applyFont="1" applyFill="1" applyBorder="1" applyAlignment="1">
      <alignment horizontal="justify" vertical="top" wrapText="1"/>
    </xf>
    <xf numFmtId="0" fontId="16" fillId="4" borderId="3" xfId="0" applyFont="1" applyFill="1" applyBorder="1" applyAlignment="1">
      <alignment horizontal="justify" vertical="top" wrapText="1"/>
    </xf>
    <xf numFmtId="0" fontId="16" fillId="4" borderId="5" xfId="0" applyFont="1" applyFill="1" applyBorder="1" applyAlignment="1">
      <alignment horizontal="justify" vertical="top" wrapText="1"/>
    </xf>
    <xf numFmtId="0" fontId="29" fillId="4" borderId="1" xfId="0" applyFont="1" applyFill="1" applyBorder="1" applyAlignment="1">
      <alignment horizontal="center" vertical="center" wrapText="1"/>
    </xf>
    <xf numFmtId="0" fontId="29" fillId="4" borderId="0" xfId="0" applyFont="1" applyFill="1" applyBorder="1" applyAlignment="1">
      <alignment vertical="center" wrapText="1"/>
    </xf>
    <xf numFmtId="0" fontId="14" fillId="4" borderId="18" xfId="0" applyFont="1" applyFill="1" applyBorder="1" applyAlignment="1">
      <alignment horizontal="right" vertical="center" wrapText="1"/>
    </xf>
    <xf numFmtId="0" fontId="16" fillId="4" borderId="9" xfId="0" applyFont="1" applyFill="1" applyBorder="1" applyAlignment="1">
      <alignment horizontal="justify" vertical="center" wrapText="1"/>
    </xf>
    <xf numFmtId="0" fontId="16" fillId="4" borderId="10" xfId="0" applyFont="1" applyFill="1" applyBorder="1" applyAlignment="1">
      <alignment horizontal="justify" vertical="center" wrapText="1"/>
    </xf>
    <xf numFmtId="0" fontId="14" fillId="4" borderId="11" xfId="0" applyFont="1" applyFill="1" applyBorder="1" applyAlignment="1">
      <alignment horizontal="justify" vertical="center" wrapText="1"/>
    </xf>
    <xf numFmtId="0" fontId="14" fillId="4" borderId="8" xfId="0" applyFont="1" applyFill="1" applyBorder="1" applyAlignment="1">
      <alignment horizontal="justify" vertical="center" wrapText="1"/>
    </xf>
    <xf numFmtId="0" fontId="14" fillId="4" borderId="17" xfId="0" applyFont="1" applyFill="1" applyBorder="1" applyAlignment="1">
      <alignment horizontal="justify" vertical="center" wrapText="1"/>
    </xf>
    <xf numFmtId="0" fontId="16" fillId="4" borderId="2" xfId="0" applyFont="1" applyFill="1" applyBorder="1" applyAlignment="1">
      <alignment horizontal="justify" vertical="center" wrapText="1"/>
    </xf>
    <xf numFmtId="0" fontId="16" fillId="4" borderId="1" xfId="0" applyFont="1" applyFill="1" applyBorder="1" applyAlignment="1">
      <alignment horizontal="justify" vertical="center" wrapText="1"/>
    </xf>
    <xf numFmtId="0" fontId="16" fillId="4" borderId="3" xfId="0" applyFont="1" applyFill="1" applyBorder="1" applyAlignment="1">
      <alignment horizontal="justify" vertical="center" wrapText="1"/>
    </xf>
    <xf numFmtId="0" fontId="16" fillId="4" borderId="5" xfId="0" applyFont="1" applyFill="1" applyBorder="1" applyAlignment="1">
      <alignment horizontal="justify" vertical="center" wrapText="1"/>
    </xf>
    <xf numFmtId="0" fontId="14" fillId="0" borderId="0" xfId="0" applyFont="1" applyAlignment="1">
      <alignment vertical="top"/>
    </xf>
    <xf numFmtId="0" fontId="16" fillId="4" borderId="0" xfId="0" applyFont="1" applyFill="1" applyAlignment="1">
      <alignment vertical="top"/>
    </xf>
    <xf numFmtId="0" fontId="16" fillId="0" borderId="0" xfId="0" applyFont="1" applyAlignment="1">
      <alignment vertical="top"/>
    </xf>
    <xf numFmtId="0" fontId="14" fillId="0" borderId="0" xfId="0" applyFont="1" applyAlignment="1">
      <alignment horizontal="left"/>
    </xf>
    <xf numFmtId="0" fontId="14" fillId="4" borderId="11" xfId="0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left" vertical="top"/>
    </xf>
    <xf numFmtId="0" fontId="14" fillId="4" borderId="2" xfId="0" applyFont="1" applyFill="1" applyBorder="1" applyAlignment="1">
      <alignment horizontal="justify" vertical="top"/>
    </xf>
    <xf numFmtId="0" fontId="14" fillId="4" borderId="3" xfId="0" applyFont="1" applyFill="1" applyBorder="1" applyAlignment="1">
      <alignment horizontal="left" vertical="top"/>
    </xf>
    <xf numFmtId="0" fontId="16" fillId="4" borderId="3" xfId="0" applyFont="1" applyFill="1" applyBorder="1" applyAlignment="1">
      <alignment horizontal="left" vertical="top"/>
    </xf>
    <xf numFmtId="0" fontId="16" fillId="4" borderId="5" xfId="0" applyFont="1" applyFill="1" applyBorder="1" applyAlignment="1">
      <alignment vertical="top"/>
    </xf>
    <xf numFmtId="0" fontId="19" fillId="8" borderId="16" xfId="0" applyFont="1" applyFill="1" applyBorder="1" applyAlignment="1">
      <alignment horizontal="center"/>
    </xf>
    <xf numFmtId="0" fontId="14" fillId="4" borderId="16" xfId="0" applyFont="1" applyFill="1" applyBorder="1"/>
    <xf numFmtId="0" fontId="18" fillId="4" borderId="16" xfId="0" applyFont="1" applyFill="1" applyBorder="1"/>
    <xf numFmtId="0" fontId="14" fillId="4" borderId="16" xfId="0" applyFont="1" applyFill="1" applyBorder="1" applyAlignment="1">
      <alignment horizontal="center"/>
    </xf>
    <xf numFmtId="0" fontId="18" fillId="8" borderId="0" xfId="0" applyFont="1" applyFill="1"/>
    <xf numFmtId="0" fontId="14" fillId="4" borderId="2" xfId="0" applyFont="1" applyFill="1" applyBorder="1" applyAlignment="1">
      <alignment horizontal="right" vertical="center" wrapText="1"/>
    </xf>
    <xf numFmtId="0" fontId="14" fillId="4" borderId="0" xfId="0" applyFont="1" applyFill="1" applyBorder="1" applyAlignment="1">
      <alignment horizontal="justify" vertical="center" wrapText="1"/>
    </xf>
    <xf numFmtId="0" fontId="14" fillId="4" borderId="3" xfId="0" applyFont="1" applyFill="1" applyBorder="1" applyAlignment="1">
      <alignment horizontal="justify" vertical="center" wrapText="1"/>
    </xf>
    <xf numFmtId="0" fontId="14" fillId="4" borderId="4" xfId="0" applyFont="1" applyFill="1" applyBorder="1" applyAlignment="1">
      <alignment horizontal="justify" vertical="center" wrapText="1"/>
    </xf>
    <xf numFmtId="0" fontId="14" fillId="4" borderId="5" xfId="0" applyFont="1" applyFill="1" applyBorder="1" applyAlignment="1">
      <alignment horizontal="justify" vertical="center" wrapText="1"/>
    </xf>
    <xf numFmtId="0" fontId="14" fillId="4" borderId="20" xfId="0" applyFont="1" applyFill="1" applyBorder="1" applyAlignment="1">
      <alignment horizontal="justify" vertical="center" wrapText="1"/>
    </xf>
    <xf numFmtId="0" fontId="16" fillId="4" borderId="21" xfId="0" applyFont="1" applyFill="1" applyBorder="1" applyAlignment="1">
      <alignment horizontal="justify" vertical="center" wrapText="1"/>
    </xf>
    <xf numFmtId="0" fontId="16" fillId="4" borderId="20" xfId="0" applyFont="1" applyFill="1" applyBorder="1" applyAlignment="1">
      <alignment horizontal="justify" vertical="center" wrapText="1"/>
    </xf>
    <xf numFmtId="0" fontId="14" fillId="4" borderId="32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 applyProtection="1">
      <alignment horizontal="center" vertical="top"/>
    </xf>
    <xf numFmtId="0" fontId="17" fillId="4" borderId="0" xfId="0" applyFont="1" applyFill="1" applyBorder="1" applyAlignment="1" applyProtection="1">
      <alignment horizontal="left" vertical="top"/>
    </xf>
    <xf numFmtId="0" fontId="15" fillId="4" borderId="0" xfId="0" applyFont="1" applyFill="1" applyBorder="1" applyAlignment="1" applyProtection="1">
      <alignment horizontal="left" vertical="top"/>
    </xf>
    <xf numFmtId="0" fontId="36" fillId="0" borderId="0" xfId="3" applyFont="1" applyAlignment="1"/>
    <xf numFmtId="0" fontId="15" fillId="4" borderId="0" xfId="0" applyNumberFormat="1" applyFont="1" applyFill="1" applyBorder="1" applyAlignment="1" applyProtection="1">
      <protection locked="0"/>
    </xf>
    <xf numFmtId="3" fontId="14" fillId="4" borderId="0" xfId="0" applyNumberFormat="1" applyFont="1" applyFill="1" applyBorder="1"/>
    <xf numFmtId="3" fontId="17" fillId="0" borderId="0" xfId="2" applyNumberFormat="1" applyFont="1" applyFill="1" applyBorder="1" applyAlignment="1">
      <alignment vertical="top"/>
    </xf>
    <xf numFmtId="3" fontId="3" fillId="4" borderId="0" xfId="0" applyNumberFormat="1" applyFont="1" applyFill="1" applyBorder="1" applyAlignment="1" applyProtection="1">
      <alignment horizontal="left" vertical="top"/>
      <protection locked="0"/>
    </xf>
    <xf numFmtId="37" fontId="15" fillId="4" borderId="0" xfId="0" applyNumberFormat="1" applyFont="1" applyFill="1" applyBorder="1" applyAlignment="1" applyProtection="1">
      <alignment horizontal="right" vertical="top"/>
    </xf>
    <xf numFmtId="167" fontId="28" fillId="4" borderId="4" xfId="5" applyNumberFormat="1" applyFont="1" applyFill="1" applyBorder="1" applyAlignment="1">
      <alignment horizontal="center"/>
    </xf>
    <xf numFmtId="3" fontId="17" fillId="4" borderId="17" xfId="0" applyNumberFormat="1" applyFont="1" applyFill="1" applyBorder="1" applyAlignment="1" applyProtection="1">
      <alignment horizontal="right" vertical="top"/>
      <protection locked="0"/>
    </xf>
    <xf numFmtId="167" fontId="31" fillId="4" borderId="18" xfId="2" applyNumberFormat="1" applyFont="1" applyFill="1" applyBorder="1" applyAlignment="1">
      <alignment vertical="center" wrapText="1"/>
    </xf>
    <xf numFmtId="167" fontId="17" fillId="4" borderId="18" xfId="2" applyNumberFormat="1" applyFont="1" applyFill="1" applyBorder="1" applyAlignment="1" applyProtection="1">
      <alignment horizontal="right" vertical="top"/>
      <protection locked="0"/>
    </xf>
    <xf numFmtId="167" fontId="29" fillId="4" borderId="18" xfId="2" applyNumberFormat="1" applyFont="1" applyFill="1" applyBorder="1" applyAlignment="1">
      <alignment vertical="center" wrapText="1"/>
    </xf>
    <xf numFmtId="167" fontId="28" fillId="4" borderId="18" xfId="2" applyNumberFormat="1" applyFont="1" applyFill="1" applyBorder="1" applyAlignment="1">
      <alignment horizontal="center"/>
    </xf>
    <xf numFmtId="167" fontId="30" fillId="4" borderId="18" xfId="2" applyNumberFormat="1" applyFont="1" applyFill="1" applyBorder="1" applyAlignment="1">
      <alignment horizontal="center"/>
    </xf>
    <xf numFmtId="167" fontId="17" fillId="4" borderId="0" xfId="2" applyNumberFormat="1" applyFont="1" applyFill="1" applyBorder="1" applyAlignment="1" applyProtection="1">
      <alignment horizontal="right" vertical="top"/>
      <protection locked="0"/>
    </xf>
    <xf numFmtId="3" fontId="17" fillId="4" borderId="0" xfId="0" applyNumberFormat="1" applyFont="1" applyFill="1" applyBorder="1"/>
    <xf numFmtId="3" fontId="14" fillId="4" borderId="0" xfId="0" applyNumberFormat="1" applyFont="1" applyFill="1"/>
    <xf numFmtId="168" fontId="14" fillId="4" borderId="0" xfId="2" applyNumberFormat="1" applyFont="1" applyFill="1"/>
    <xf numFmtId="167" fontId="14" fillId="4" borderId="0" xfId="2" applyNumberFormat="1" applyFont="1" applyFill="1"/>
    <xf numFmtId="167" fontId="14" fillId="0" borderId="0" xfId="0" applyNumberFormat="1" applyFont="1"/>
    <xf numFmtId="167" fontId="14" fillId="4" borderId="16" xfId="2" applyNumberFormat="1" applyFont="1" applyFill="1" applyBorder="1"/>
    <xf numFmtId="167" fontId="14" fillId="4" borderId="22" xfId="2" applyNumberFormat="1" applyFont="1" applyFill="1" applyBorder="1" applyAlignment="1">
      <alignment horizontal="center" vertical="center" wrapText="1"/>
    </xf>
    <xf numFmtId="167" fontId="14" fillId="4" borderId="19" xfId="2" applyNumberFormat="1" applyFont="1" applyFill="1" applyBorder="1" applyAlignment="1">
      <alignment horizontal="center" vertical="center" wrapText="1"/>
    </xf>
    <xf numFmtId="167" fontId="14" fillId="4" borderId="16" xfId="2" applyNumberFormat="1" applyFont="1" applyFill="1" applyBorder="1" applyAlignment="1">
      <alignment horizontal="center" vertical="center" wrapText="1"/>
    </xf>
    <xf numFmtId="167" fontId="14" fillId="4" borderId="18" xfId="2" applyNumberFormat="1" applyFont="1" applyFill="1" applyBorder="1" applyAlignment="1">
      <alignment horizontal="center" vertical="center" wrapText="1"/>
    </xf>
    <xf numFmtId="167" fontId="14" fillId="4" borderId="16" xfId="0" applyNumberFormat="1" applyFont="1" applyFill="1" applyBorder="1" applyAlignment="1">
      <alignment horizontal="center" vertical="center" wrapText="1"/>
    </xf>
    <xf numFmtId="167" fontId="14" fillId="4" borderId="18" xfId="0" applyNumberFormat="1" applyFont="1" applyFill="1" applyBorder="1" applyAlignment="1">
      <alignment horizontal="justify" vertical="center" wrapText="1"/>
    </xf>
    <xf numFmtId="167" fontId="14" fillId="4" borderId="18" xfId="0" applyNumberFormat="1" applyFont="1" applyFill="1" applyBorder="1" applyAlignment="1">
      <alignment horizontal="center" vertical="center" wrapText="1"/>
    </xf>
    <xf numFmtId="167" fontId="16" fillId="4" borderId="22" xfId="0" applyNumberFormat="1" applyFont="1" applyFill="1" applyBorder="1" applyAlignment="1">
      <alignment horizontal="center" vertical="center" wrapText="1"/>
    </xf>
    <xf numFmtId="167" fontId="14" fillId="4" borderId="19" xfId="0" applyNumberFormat="1" applyFont="1" applyFill="1" applyBorder="1" applyAlignment="1">
      <alignment horizontal="justify" vertical="center" wrapText="1"/>
    </xf>
    <xf numFmtId="4" fontId="8" fillId="4" borderId="0" xfId="0" applyNumberFormat="1" applyFont="1" applyFill="1"/>
    <xf numFmtId="43" fontId="14" fillId="0" borderId="0" xfId="2" applyFont="1"/>
    <xf numFmtId="167" fontId="16" fillId="4" borderId="18" xfId="2" applyNumberFormat="1" applyFont="1" applyFill="1" applyBorder="1" applyAlignment="1">
      <alignment horizontal="right" vertical="center" wrapText="1"/>
    </xf>
    <xf numFmtId="167" fontId="14" fillId="4" borderId="18" xfId="2" applyNumberFormat="1" applyFont="1" applyFill="1" applyBorder="1" applyAlignment="1">
      <alignment horizontal="right" vertical="center" wrapText="1"/>
    </xf>
    <xf numFmtId="167" fontId="16" fillId="4" borderId="16" xfId="2" applyNumberFormat="1" applyFont="1" applyFill="1" applyBorder="1" applyAlignment="1">
      <alignment vertical="center" wrapText="1"/>
    </xf>
    <xf numFmtId="167" fontId="14" fillId="0" borderId="0" xfId="2" applyNumberFormat="1" applyFont="1"/>
    <xf numFmtId="167" fontId="14" fillId="4" borderId="18" xfId="2" applyNumberFormat="1" applyFont="1" applyFill="1" applyBorder="1" applyAlignment="1">
      <alignment horizontal="justify" vertical="center" wrapText="1"/>
    </xf>
    <xf numFmtId="167" fontId="14" fillId="4" borderId="18" xfId="2" applyNumberFormat="1" applyFont="1" applyFill="1" applyBorder="1" applyAlignment="1">
      <alignment horizontal="right" vertical="top" wrapText="1"/>
    </xf>
    <xf numFmtId="167" fontId="14" fillId="4" borderId="19" xfId="2" applyNumberFormat="1" applyFont="1" applyFill="1" applyBorder="1" applyAlignment="1">
      <alignment horizontal="justify" vertical="top" wrapText="1"/>
    </xf>
    <xf numFmtId="167" fontId="16" fillId="4" borderId="19" xfId="2" applyNumberFormat="1" applyFont="1" applyFill="1" applyBorder="1" applyAlignment="1">
      <alignment horizontal="right" vertical="top" wrapText="1"/>
    </xf>
    <xf numFmtId="0" fontId="37" fillId="4" borderId="2" xfId="0" applyFont="1" applyFill="1" applyBorder="1" applyAlignment="1">
      <alignment horizontal="justify" vertical="top" wrapText="1"/>
    </xf>
    <xf numFmtId="0" fontId="14" fillId="4" borderId="18" xfId="2" applyNumberFormat="1" applyFont="1" applyFill="1" applyBorder="1" applyAlignment="1">
      <alignment horizontal="right" vertical="top" wrapText="1"/>
    </xf>
    <xf numFmtId="166" fontId="14" fillId="4" borderId="18" xfId="2" applyNumberFormat="1" applyFont="1" applyFill="1" applyBorder="1" applyAlignment="1">
      <alignment horizontal="right" vertical="top" wrapText="1"/>
    </xf>
    <xf numFmtId="167" fontId="16" fillId="4" borderId="0" xfId="0" applyNumberFormat="1" applyFont="1" applyFill="1"/>
    <xf numFmtId="167" fontId="14" fillId="4" borderId="0" xfId="0" applyNumberFormat="1" applyFont="1" applyFill="1"/>
    <xf numFmtId="167" fontId="14" fillId="4" borderId="19" xfId="2" applyNumberFormat="1" applyFont="1" applyFill="1" applyBorder="1" applyAlignment="1">
      <alignment horizontal="justify" vertical="center" wrapText="1"/>
    </xf>
    <xf numFmtId="167" fontId="16" fillId="4" borderId="19" xfId="2" applyNumberFormat="1" applyFont="1" applyFill="1" applyBorder="1" applyAlignment="1">
      <alignment horizontal="right" vertical="center" wrapText="1"/>
    </xf>
    <xf numFmtId="0" fontId="14" fillId="4" borderId="18" xfId="2" applyNumberFormat="1" applyFont="1" applyFill="1" applyBorder="1" applyAlignment="1">
      <alignment horizontal="right" vertical="center" wrapText="1"/>
    </xf>
    <xf numFmtId="0" fontId="14" fillId="4" borderId="19" xfId="2" applyNumberFormat="1" applyFont="1" applyFill="1" applyBorder="1" applyAlignment="1">
      <alignment horizontal="justify" vertical="center" wrapText="1"/>
    </xf>
    <xf numFmtId="167" fontId="16" fillId="4" borderId="18" xfId="2" applyNumberFormat="1" applyFont="1" applyFill="1" applyBorder="1" applyAlignment="1">
      <alignment horizontal="right" vertical="top" wrapText="1"/>
    </xf>
    <xf numFmtId="167" fontId="14" fillId="4" borderId="18" xfId="2" applyNumberFormat="1" applyFont="1" applyFill="1" applyBorder="1" applyAlignment="1">
      <alignment horizontal="right" vertical="top"/>
    </xf>
    <xf numFmtId="167" fontId="16" fillId="4" borderId="18" xfId="2" applyNumberFormat="1" applyFont="1" applyFill="1" applyBorder="1" applyAlignment="1">
      <alignment horizontal="right" vertical="top"/>
    </xf>
    <xf numFmtId="167" fontId="16" fillId="4" borderId="19" xfId="2" applyNumberFormat="1" applyFont="1" applyFill="1" applyBorder="1" applyAlignment="1">
      <alignment horizontal="right" vertical="top"/>
    </xf>
    <xf numFmtId="43" fontId="14" fillId="0" borderId="0" xfId="0" applyNumberFormat="1" applyFont="1"/>
    <xf numFmtId="0" fontId="14" fillId="4" borderId="18" xfId="2" applyNumberFormat="1" applyFont="1" applyFill="1" applyBorder="1" applyAlignment="1">
      <alignment horizontal="right" vertical="top"/>
    </xf>
    <xf numFmtId="0" fontId="14" fillId="0" borderId="0" xfId="0" applyNumberFormat="1" applyFont="1"/>
    <xf numFmtId="166" fontId="14" fillId="4" borderId="18" xfId="2" applyNumberFormat="1" applyFont="1" applyFill="1" applyBorder="1" applyAlignment="1">
      <alignment horizontal="right" vertical="top"/>
    </xf>
    <xf numFmtId="167" fontId="14" fillId="4" borderId="2" xfId="2" applyNumberFormat="1" applyFont="1" applyFill="1" applyBorder="1" applyAlignment="1">
      <alignment horizontal="right" vertical="center" wrapText="1"/>
    </xf>
    <xf numFmtId="167" fontId="14" fillId="4" borderId="5" xfId="2" applyNumberFormat="1" applyFont="1" applyFill="1" applyBorder="1" applyAlignment="1">
      <alignment horizontal="right" vertical="center" wrapText="1"/>
    </xf>
    <xf numFmtId="167" fontId="14" fillId="4" borderId="19" xfId="2" applyNumberFormat="1" applyFont="1" applyFill="1" applyBorder="1" applyAlignment="1">
      <alignment horizontal="right" vertical="center" wrapText="1"/>
    </xf>
    <xf numFmtId="166" fontId="14" fillId="4" borderId="2" xfId="2" applyNumberFormat="1" applyFont="1" applyFill="1" applyBorder="1" applyAlignment="1">
      <alignment horizontal="right" vertical="center" wrapText="1"/>
    </xf>
    <xf numFmtId="166" fontId="16" fillId="4" borderId="19" xfId="2" applyNumberFormat="1" applyFont="1" applyFill="1" applyBorder="1" applyAlignment="1">
      <alignment horizontal="right" vertical="center" wrapText="1"/>
    </xf>
    <xf numFmtId="170" fontId="14" fillId="4" borderId="0" xfId="0" applyNumberFormat="1" applyFont="1" applyFill="1" applyBorder="1"/>
    <xf numFmtId="171" fontId="14" fillId="4" borderId="0" xfId="0" applyNumberFormat="1" applyFont="1" applyFill="1" applyBorder="1"/>
    <xf numFmtId="172" fontId="38" fillId="4" borderId="0" xfId="0" applyNumberFormat="1" applyFont="1" applyFill="1"/>
    <xf numFmtId="43" fontId="37" fillId="0" borderId="0" xfId="0" applyNumberFormat="1" applyFont="1"/>
    <xf numFmtId="3" fontId="16" fillId="4" borderId="0" xfId="4" applyNumberFormat="1" applyFont="1" applyFill="1" applyAlignment="1">
      <alignment horizontal="center"/>
    </xf>
    <xf numFmtId="3" fontId="15" fillId="0" borderId="0" xfId="0" applyNumberFormat="1" applyFont="1" applyFill="1" applyBorder="1" applyAlignment="1" applyProtection="1">
      <alignment vertical="top"/>
    </xf>
    <xf numFmtId="3" fontId="14" fillId="4" borderId="4" xfId="0" applyNumberFormat="1" applyFont="1" applyFill="1" applyBorder="1"/>
    <xf numFmtId="3" fontId="17" fillId="4" borderId="0" xfId="0" applyNumberFormat="1" applyFont="1" applyFill="1" applyBorder="1" applyAlignment="1" applyProtection="1"/>
    <xf numFmtId="0" fontId="37" fillId="4" borderId="13" xfId="0" applyFont="1" applyFill="1" applyBorder="1" applyAlignment="1">
      <alignment horizontal="left" vertical="center" wrapText="1"/>
    </xf>
    <xf numFmtId="0" fontId="37" fillId="4" borderId="32" xfId="0" applyFont="1" applyFill="1" applyBorder="1" applyAlignment="1">
      <alignment horizontal="left" vertical="center" wrapText="1"/>
    </xf>
    <xf numFmtId="3" fontId="17" fillId="0" borderId="0" xfId="0" applyNumberFormat="1" applyFont="1" applyFill="1" applyBorder="1" applyAlignment="1" applyProtection="1">
      <alignment vertical="top"/>
      <protection locked="0"/>
    </xf>
    <xf numFmtId="3" fontId="15" fillId="4" borderId="0" xfId="0" applyNumberFormat="1" applyFont="1" applyFill="1" applyBorder="1" applyAlignment="1">
      <alignment vertical="top" wrapText="1"/>
    </xf>
    <xf numFmtId="0" fontId="17" fillId="4" borderId="0" xfId="0" applyFont="1" applyFill="1" applyBorder="1" applyAlignment="1" applyProtection="1">
      <alignment horizontal="left" vertical="top"/>
    </xf>
    <xf numFmtId="3" fontId="15" fillId="10" borderId="0" xfId="3" applyNumberFormat="1" applyFont="1" applyFill="1" applyBorder="1" applyAlignment="1">
      <alignment horizontal="right" vertical="top" wrapText="1"/>
    </xf>
    <xf numFmtId="3" fontId="12" fillId="4" borderId="0" xfId="0" applyNumberFormat="1" applyFont="1" applyFill="1" applyAlignment="1">
      <alignment horizontal="center"/>
    </xf>
    <xf numFmtId="3" fontId="39" fillId="4" borderId="0" xfId="0" applyNumberFormat="1" applyFont="1" applyFill="1"/>
    <xf numFmtId="3" fontId="15" fillId="0" borderId="0" xfId="0" applyNumberFormat="1" applyFont="1" applyFill="1" applyBorder="1" applyAlignment="1" applyProtection="1">
      <alignment horizontal="right" vertical="top"/>
    </xf>
    <xf numFmtId="0" fontId="15" fillId="0" borderId="0" xfId="0" applyFont="1" applyFill="1" applyBorder="1" applyAlignment="1" applyProtection="1">
      <alignment horizontal="right" vertical="top"/>
    </xf>
    <xf numFmtId="37" fontId="15" fillId="0" borderId="0" xfId="0" applyNumberFormat="1" applyFont="1" applyFill="1" applyBorder="1" applyAlignment="1" applyProtection="1">
      <alignment horizontal="right" vertical="top"/>
    </xf>
    <xf numFmtId="0" fontId="14" fillId="0" borderId="0" xfId="0" applyFont="1" applyFill="1"/>
    <xf numFmtId="167" fontId="14" fillId="0" borderId="0" xfId="2" applyNumberFormat="1" applyFont="1" applyFill="1" applyBorder="1" applyAlignment="1">
      <alignment horizontal="right" vertical="top"/>
    </xf>
    <xf numFmtId="0" fontId="14" fillId="0" borderId="0" xfId="0" applyFont="1" applyFill="1" applyBorder="1"/>
    <xf numFmtId="43" fontId="8" fillId="0" borderId="0" xfId="2" applyFont="1"/>
    <xf numFmtId="3" fontId="14" fillId="0" borderId="0" xfId="0" applyNumberFormat="1" applyFont="1"/>
    <xf numFmtId="0" fontId="15" fillId="4" borderId="0" xfId="0" applyFont="1" applyFill="1" applyBorder="1" applyAlignment="1" applyProtection="1">
      <alignment horizontal="center" vertical="top"/>
    </xf>
    <xf numFmtId="0" fontId="15" fillId="4" borderId="0" xfId="0" applyFont="1" applyFill="1" applyBorder="1" applyAlignment="1" applyProtection="1">
      <alignment horizontal="left" vertical="top"/>
    </xf>
    <xf numFmtId="0" fontId="36" fillId="0" borderId="25" xfId="0" applyFont="1" applyBorder="1"/>
    <xf numFmtId="0" fontId="36" fillId="0" borderId="28" xfId="0" applyFont="1" applyBorder="1"/>
    <xf numFmtId="0" fontId="41" fillId="0" borderId="28" xfId="0" applyFont="1" applyBorder="1"/>
    <xf numFmtId="0" fontId="0" fillId="0" borderId="30" xfId="0" applyBorder="1"/>
    <xf numFmtId="167" fontId="36" fillId="0" borderId="12" xfId="2" applyNumberFormat="1" applyFont="1" applyBorder="1"/>
    <xf numFmtId="0" fontId="0" fillId="0" borderId="13" xfId="0" applyBorder="1"/>
    <xf numFmtId="167" fontId="41" fillId="0" borderId="12" xfId="2" applyNumberFormat="1" applyFont="1" applyBorder="1"/>
    <xf numFmtId="167" fontId="37" fillId="0" borderId="0" xfId="0" applyNumberFormat="1" applyFont="1" applyAlignment="1">
      <alignment vertical="top"/>
    </xf>
    <xf numFmtId="168" fontId="14" fillId="0" borderId="0" xfId="2" applyNumberFormat="1" applyFont="1" applyFill="1" applyBorder="1" applyAlignment="1">
      <alignment horizontal="right" vertical="top"/>
    </xf>
    <xf numFmtId="167" fontId="14" fillId="0" borderId="0" xfId="0" applyNumberFormat="1" applyFont="1" applyFill="1" applyBorder="1"/>
    <xf numFmtId="173" fontId="15" fillId="4" borderId="0" xfId="1" applyNumberFormat="1" applyFont="1" applyFill="1" applyBorder="1" applyAlignment="1" applyProtection="1">
      <alignment vertical="top"/>
    </xf>
    <xf numFmtId="43" fontId="37" fillId="0" borderId="0" xfId="2" applyFont="1"/>
    <xf numFmtId="43" fontId="14" fillId="0" borderId="0" xfId="2" applyNumberFormat="1" applyFont="1" applyFill="1" applyBorder="1" applyAlignment="1">
      <alignment horizontal="right" vertical="top"/>
    </xf>
    <xf numFmtId="174" fontId="14" fillId="0" borderId="0" xfId="0" applyNumberFormat="1" applyFont="1"/>
    <xf numFmtId="167" fontId="14" fillId="0" borderId="0" xfId="0" applyNumberFormat="1" applyFont="1" applyAlignment="1">
      <alignment vertical="top"/>
    </xf>
    <xf numFmtId="174" fontId="17" fillId="4" borderId="0" xfId="2" applyNumberFormat="1" applyFont="1" applyFill="1" applyBorder="1" applyProtection="1"/>
    <xf numFmtId="175" fontId="14" fillId="4" borderId="0" xfId="2" applyNumberFormat="1" applyFont="1" applyFill="1" applyBorder="1" applyAlignment="1" applyProtection="1"/>
    <xf numFmtId="43" fontId="14" fillId="4" borderId="0" xfId="2" applyFont="1" applyFill="1" applyAlignment="1"/>
    <xf numFmtId="176" fontId="14" fillId="4" borderId="0" xfId="0" applyNumberFormat="1" applyFont="1" applyFill="1" applyAlignment="1"/>
    <xf numFmtId="177" fontId="14" fillId="4" borderId="0" xfId="0" applyNumberFormat="1" applyFont="1" applyFill="1" applyBorder="1"/>
    <xf numFmtId="43" fontId="14" fillId="4" borderId="0" xfId="2" applyFont="1" applyFill="1" applyBorder="1" applyProtection="1"/>
    <xf numFmtId="167" fontId="17" fillId="4" borderId="16" xfId="2" applyNumberFormat="1" applyFont="1" applyFill="1" applyBorder="1" applyAlignment="1" applyProtection="1">
      <alignment horizontal="right" vertical="top"/>
      <protection locked="0"/>
    </xf>
    <xf numFmtId="168" fontId="37" fillId="0" borderId="0" xfId="2" applyNumberFormat="1" applyFont="1"/>
    <xf numFmtId="167" fontId="17" fillId="0" borderId="0" xfId="2" applyNumberFormat="1" applyFont="1" applyFill="1" applyBorder="1" applyAlignment="1" applyProtection="1">
      <alignment horizontal="right" vertical="top"/>
      <protection locked="0"/>
    </xf>
    <xf numFmtId="0" fontId="18" fillId="0" borderId="0" xfId="0" applyFont="1" applyAlignment="1">
      <alignment horizontal="center"/>
    </xf>
    <xf numFmtId="0" fontId="18" fillId="4" borderId="0" xfId="0" applyFont="1" applyFill="1"/>
    <xf numFmtId="178" fontId="12" fillId="4" borderId="0" xfId="2" applyNumberFormat="1" applyFont="1" applyFill="1"/>
    <xf numFmtId="179" fontId="14" fillId="4" borderId="0" xfId="0" applyNumberFormat="1" applyFont="1" applyFill="1"/>
    <xf numFmtId="0" fontId="14" fillId="0" borderId="0" xfId="0" applyFont="1" applyBorder="1"/>
    <xf numFmtId="43" fontId="14" fillId="0" borderId="0" xfId="2" applyFont="1" applyBorder="1"/>
    <xf numFmtId="43" fontId="39" fillId="0" borderId="0" xfId="0" applyNumberFormat="1" applyFont="1" applyBorder="1"/>
    <xf numFmtId="43" fontId="39" fillId="0" borderId="0" xfId="2" applyFont="1" applyBorder="1"/>
    <xf numFmtId="167" fontId="14" fillId="0" borderId="0" xfId="0" applyNumberFormat="1" applyFont="1" applyBorder="1"/>
    <xf numFmtId="43" fontId="14" fillId="0" borderId="0" xfId="0" applyNumberFormat="1" applyFont="1" applyBorder="1"/>
    <xf numFmtId="180" fontId="14" fillId="0" borderId="0" xfId="2" applyNumberFormat="1" applyFont="1" applyFill="1" applyBorder="1" applyAlignment="1">
      <alignment horizontal="right" vertical="top"/>
    </xf>
    <xf numFmtId="0" fontId="29" fillId="4" borderId="0" xfId="0" applyFont="1" applyFill="1" applyBorder="1" applyAlignment="1">
      <alignment horizontal="left" vertical="center" wrapText="1"/>
    </xf>
    <xf numFmtId="0" fontId="29" fillId="4" borderId="2" xfId="0" applyFont="1" applyFill="1" applyBorder="1" applyAlignment="1">
      <alignment horizontal="left" vertical="center" wrapText="1"/>
    </xf>
    <xf numFmtId="0" fontId="29" fillId="4" borderId="1" xfId="0" applyFont="1" applyFill="1" applyBorder="1" applyAlignment="1">
      <alignment horizontal="left" vertical="center" wrapText="1"/>
    </xf>
    <xf numFmtId="37" fontId="19" fillId="8" borderId="16" xfId="4" applyNumberFormat="1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left" vertical="center" wrapText="1"/>
    </xf>
    <xf numFmtId="0" fontId="31" fillId="4" borderId="0" xfId="0" applyFont="1" applyFill="1" applyBorder="1" applyAlignment="1">
      <alignment horizontal="left" vertical="center" wrapText="1"/>
    </xf>
    <xf numFmtId="43" fontId="0" fillId="0" borderId="0" xfId="2" applyFont="1"/>
    <xf numFmtId="3" fontId="17" fillId="0" borderId="0" xfId="3" applyNumberFormat="1" applyFont="1" applyFill="1" applyBorder="1" applyAlignment="1" applyProtection="1">
      <alignment vertical="top"/>
      <protection locked="0"/>
    </xf>
    <xf numFmtId="3" fontId="17" fillId="4" borderId="8" xfId="0" applyNumberFormat="1" applyFont="1" applyFill="1" applyBorder="1" applyAlignment="1" applyProtection="1">
      <alignment horizontal="right" vertical="top"/>
      <protection locked="0"/>
    </xf>
    <xf numFmtId="167" fontId="15" fillId="4" borderId="18" xfId="2" applyNumberFormat="1" applyFont="1" applyFill="1" applyBorder="1" applyAlignment="1" applyProtection="1">
      <alignment horizontal="right" vertical="top"/>
      <protection locked="0"/>
    </xf>
    <xf numFmtId="167" fontId="15" fillId="4" borderId="2" xfId="2" applyNumberFormat="1" applyFont="1" applyFill="1" applyBorder="1" applyAlignment="1" applyProtection="1">
      <alignment horizontal="right" vertical="top"/>
      <protection locked="0"/>
    </xf>
    <xf numFmtId="0" fontId="29" fillId="4" borderId="0" xfId="0" applyFont="1" applyFill="1" applyBorder="1" applyAlignment="1">
      <alignment horizontal="left" vertical="center"/>
    </xf>
    <xf numFmtId="167" fontId="15" fillId="4" borderId="0" xfId="2" applyNumberFormat="1" applyFont="1" applyFill="1" applyBorder="1" applyAlignment="1" applyProtection="1">
      <alignment horizontal="right" vertical="top"/>
      <protection locked="0"/>
    </xf>
    <xf numFmtId="167" fontId="17" fillId="4" borderId="2" xfId="2" applyNumberFormat="1" applyFont="1" applyFill="1" applyBorder="1" applyAlignment="1" applyProtection="1">
      <alignment horizontal="right" vertical="top"/>
      <protection locked="0"/>
    </xf>
    <xf numFmtId="0" fontId="43" fillId="4" borderId="2" xfId="0" applyFont="1" applyFill="1" applyBorder="1" applyAlignment="1">
      <alignment horizontal="left" vertical="center" wrapText="1" indent="2"/>
    </xf>
    <xf numFmtId="167" fontId="28" fillId="4" borderId="5" xfId="5" applyNumberFormat="1" applyFont="1" applyFill="1" applyBorder="1" applyAlignment="1">
      <alignment horizontal="center"/>
    </xf>
    <xf numFmtId="167" fontId="14" fillId="0" borderId="0" xfId="0" applyNumberFormat="1" applyFont="1" applyFill="1"/>
    <xf numFmtId="0" fontId="16" fillId="0" borderId="0" xfId="0" applyFont="1" applyFill="1"/>
    <xf numFmtId="0" fontId="29" fillId="4" borderId="0" xfId="0" applyFont="1" applyFill="1" applyBorder="1" applyAlignment="1">
      <alignment horizontal="left" vertical="center" wrapText="1"/>
    </xf>
    <xf numFmtId="0" fontId="29" fillId="4" borderId="2" xfId="0" applyFont="1" applyFill="1" applyBorder="1" applyAlignment="1">
      <alignment horizontal="left" vertical="center" wrapText="1"/>
    </xf>
    <xf numFmtId="0" fontId="29" fillId="4" borderId="1" xfId="0" applyFont="1" applyFill="1" applyBorder="1" applyAlignment="1">
      <alignment horizontal="left" vertical="center" wrapText="1"/>
    </xf>
    <xf numFmtId="37" fontId="19" fillId="8" borderId="16" xfId="4" applyNumberFormat="1" applyFont="1" applyFill="1" applyBorder="1" applyAlignment="1">
      <alignment horizontal="center" vertical="center"/>
    </xf>
    <xf numFmtId="0" fontId="14" fillId="4" borderId="16" xfId="0" applyFont="1" applyFill="1" applyBorder="1" applyAlignment="1">
      <alignment horizontal="center"/>
    </xf>
    <xf numFmtId="0" fontId="19" fillId="8" borderId="16" xfId="3" applyFont="1" applyFill="1" applyBorder="1" applyAlignment="1">
      <alignment horizontal="center"/>
    </xf>
    <xf numFmtId="0" fontId="28" fillId="4" borderId="0" xfId="4" applyFont="1" applyFill="1" applyBorder="1"/>
    <xf numFmtId="0" fontId="28" fillId="4" borderId="2" xfId="4" applyFont="1" applyFill="1" applyBorder="1"/>
    <xf numFmtId="0" fontId="30" fillId="4" borderId="1" xfId="4" applyFont="1" applyFill="1" applyBorder="1"/>
    <xf numFmtId="0" fontId="29" fillId="4" borderId="1" xfId="0" applyFont="1" applyFill="1" applyBorder="1" applyAlignment="1">
      <alignment vertical="center" wrapText="1"/>
    </xf>
    <xf numFmtId="0" fontId="30" fillId="4" borderId="1" xfId="4" applyFont="1" applyFill="1" applyBorder="1" applyAlignment="1"/>
    <xf numFmtId="167" fontId="30" fillId="4" borderId="1" xfId="2" applyNumberFormat="1" applyFont="1" applyFill="1" applyBorder="1"/>
    <xf numFmtId="0" fontId="30" fillId="4" borderId="10" xfId="4" applyFont="1" applyFill="1" applyBorder="1" applyAlignment="1">
      <alignment horizontal="left" vertical="center" wrapText="1"/>
    </xf>
    <xf numFmtId="167" fontId="30" fillId="4" borderId="10" xfId="2" applyNumberFormat="1" applyFont="1" applyFill="1" applyBorder="1" applyAlignment="1">
      <alignment horizontal="left" vertical="center" wrapText="1"/>
    </xf>
    <xf numFmtId="167" fontId="14" fillId="0" borderId="18" xfId="2" applyNumberFormat="1" applyFont="1" applyFill="1" applyBorder="1" applyAlignment="1">
      <alignment horizontal="right" vertical="center" wrapText="1"/>
    </xf>
    <xf numFmtId="167" fontId="14" fillId="4" borderId="9" xfId="2" applyNumberFormat="1" applyFont="1" applyFill="1" applyBorder="1" applyAlignment="1"/>
    <xf numFmtId="0" fontId="14" fillId="4" borderId="16" xfId="0" applyFont="1" applyFill="1" applyBorder="1" applyAlignment="1"/>
    <xf numFmtId="167" fontId="14" fillId="4" borderId="16" xfId="0" applyNumberFormat="1" applyFont="1" applyFill="1" applyBorder="1" applyAlignment="1"/>
    <xf numFmtId="0" fontId="14" fillId="0" borderId="16" xfId="0" applyFont="1" applyFill="1" applyBorder="1"/>
    <xf numFmtId="167" fontId="14" fillId="0" borderId="16" xfId="2" applyNumberFormat="1" applyFont="1" applyFill="1" applyBorder="1"/>
    <xf numFmtId="0" fontId="39" fillId="0" borderId="0" xfId="0" applyFont="1" applyFill="1"/>
    <xf numFmtId="0" fontId="18" fillId="0" borderId="16" xfId="0" applyFont="1" applyFill="1" applyBorder="1"/>
    <xf numFmtId="0" fontId="14" fillId="0" borderId="16" xfId="0" applyFont="1" applyFill="1" applyBorder="1" applyAlignment="1">
      <alignment horizontal="center"/>
    </xf>
    <xf numFmtId="167" fontId="39" fillId="0" borderId="0" xfId="0" applyNumberFormat="1" applyFont="1" applyFill="1"/>
    <xf numFmtId="167" fontId="16" fillId="0" borderId="18" xfId="2" applyNumberFormat="1" applyFont="1" applyFill="1" applyBorder="1" applyAlignment="1">
      <alignment horizontal="right" vertical="top" wrapText="1"/>
    </xf>
    <xf numFmtId="0" fontId="14" fillId="0" borderId="5" xfId="0" applyFont="1" applyFill="1" applyBorder="1" applyAlignment="1">
      <alignment vertical="top"/>
    </xf>
    <xf numFmtId="167" fontId="14" fillId="0" borderId="19" xfId="2" applyNumberFormat="1" applyFont="1" applyFill="1" applyBorder="1" applyAlignment="1">
      <alignment horizontal="right" vertical="top"/>
    </xf>
    <xf numFmtId="0" fontId="14" fillId="0" borderId="19" xfId="2" applyNumberFormat="1" applyFont="1" applyFill="1" applyBorder="1" applyAlignment="1">
      <alignment horizontal="right" vertical="top"/>
    </xf>
    <xf numFmtId="167" fontId="16" fillId="0" borderId="18" xfId="2" applyNumberFormat="1" applyFont="1" applyFill="1" applyBorder="1" applyAlignment="1">
      <alignment horizontal="right" vertical="top"/>
    </xf>
    <xf numFmtId="0" fontId="16" fillId="0" borderId="0" xfId="0" applyFont="1" applyFill="1" applyAlignment="1">
      <alignment vertical="top"/>
    </xf>
    <xf numFmtId="43" fontId="16" fillId="4" borderId="18" xfId="2" applyNumberFormat="1" applyFont="1" applyFill="1" applyBorder="1" applyAlignment="1">
      <alignment horizontal="right" vertical="center" wrapText="1"/>
    </xf>
    <xf numFmtId="43" fontId="37" fillId="0" borderId="0" xfId="2" applyNumberFormat="1" applyFont="1"/>
    <xf numFmtId="43" fontId="14" fillId="0" borderId="0" xfId="2" applyNumberFormat="1" applyFont="1"/>
    <xf numFmtId="167" fontId="15" fillId="4" borderId="1" xfId="2" applyNumberFormat="1" applyFont="1" applyFill="1" applyBorder="1" applyAlignment="1" applyProtection="1">
      <alignment horizontal="right" vertical="top"/>
      <protection locked="0"/>
    </xf>
    <xf numFmtId="43" fontId="14" fillId="4" borderId="0" xfId="0" applyNumberFormat="1" applyFont="1" applyFill="1" applyBorder="1"/>
    <xf numFmtId="43" fontId="16" fillId="0" borderId="0" xfId="0" applyNumberFormat="1" applyFont="1" applyBorder="1"/>
    <xf numFmtId="167" fontId="30" fillId="4" borderId="18" xfId="2" applyNumberFormat="1" applyFont="1" applyFill="1" applyBorder="1"/>
    <xf numFmtId="0" fontId="14" fillId="4" borderId="0" xfId="4" applyFont="1" applyFill="1" applyAlignment="1"/>
    <xf numFmtId="0" fontId="29" fillId="4" borderId="1" xfId="0" applyFont="1" applyFill="1" applyBorder="1" applyAlignment="1">
      <alignment wrapText="1"/>
    </xf>
    <xf numFmtId="167" fontId="17" fillId="4" borderId="18" xfId="2" applyNumberFormat="1" applyFont="1" applyFill="1" applyBorder="1" applyAlignment="1" applyProtection="1">
      <alignment horizontal="right"/>
      <protection locked="0"/>
    </xf>
    <xf numFmtId="167" fontId="17" fillId="4" borderId="0" xfId="2" applyNumberFormat="1" applyFont="1" applyFill="1" applyBorder="1" applyAlignment="1" applyProtection="1">
      <alignment horizontal="right"/>
      <protection locked="0"/>
    </xf>
    <xf numFmtId="0" fontId="14" fillId="0" borderId="0" xfId="0" applyFont="1" applyAlignment="1"/>
    <xf numFmtId="167" fontId="14" fillId="0" borderId="0" xfId="0" applyNumberFormat="1" applyFont="1" applyAlignment="1"/>
    <xf numFmtId="0" fontId="14" fillId="4" borderId="0" xfId="4" applyFont="1" applyFill="1" applyAlignment="1">
      <alignment vertical="center"/>
    </xf>
    <xf numFmtId="167" fontId="17" fillId="4" borderId="18" xfId="2" applyNumberFormat="1" applyFont="1" applyFill="1" applyBorder="1" applyAlignment="1" applyProtection="1">
      <alignment horizontal="right" vertical="center"/>
      <protection locked="0"/>
    </xf>
    <xf numFmtId="167" fontId="17" fillId="0" borderId="0" xfId="2" applyNumberFormat="1" applyFont="1" applyFill="1" applyBorder="1" applyAlignment="1" applyProtection="1">
      <alignment horizontal="right" vertical="center"/>
      <protection locked="0"/>
    </xf>
    <xf numFmtId="167" fontId="17" fillId="4" borderId="0" xfId="2" applyNumberFormat="1" applyFont="1" applyFill="1" applyBorder="1" applyAlignment="1" applyProtection="1">
      <alignment horizontal="right" vertical="center"/>
      <protection locked="0"/>
    </xf>
    <xf numFmtId="0" fontId="14" fillId="0" borderId="0" xfId="0" applyFont="1" applyAlignment="1">
      <alignment vertical="center"/>
    </xf>
    <xf numFmtId="167" fontId="14" fillId="0" borderId="0" xfId="0" applyNumberFormat="1" applyFont="1" applyAlignment="1">
      <alignment vertical="center"/>
    </xf>
    <xf numFmtId="0" fontId="15" fillId="0" borderId="0" xfId="0" applyFont="1" applyBorder="1" applyAlignment="1">
      <alignment horizontal="center" vertical="top" wrapText="1"/>
    </xf>
    <xf numFmtId="167" fontId="31" fillId="4" borderId="0" xfId="2" applyNumberFormat="1" applyFont="1" applyFill="1" applyBorder="1" applyAlignment="1">
      <alignment horizontal="right" vertical="center" wrapText="1"/>
    </xf>
    <xf numFmtId="167" fontId="36" fillId="0" borderId="33" xfId="2" applyNumberFormat="1" applyFont="1" applyFill="1" applyBorder="1"/>
    <xf numFmtId="167" fontId="36" fillId="0" borderId="12" xfId="2" applyNumberFormat="1" applyFont="1" applyFill="1" applyBorder="1"/>
    <xf numFmtId="0" fontId="17" fillId="4" borderId="0" xfId="0" applyFont="1" applyFill="1" applyBorder="1" applyAlignment="1" applyProtection="1">
      <alignment horizontal="center" vertical="top" wrapText="1"/>
      <protection locked="0"/>
    </xf>
    <xf numFmtId="0" fontId="19" fillId="7" borderId="6" xfId="3" applyFont="1" applyFill="1" applyBorder="1" applyAlignment="1">
      <alignment horizontal="center" vertical="center"/>
    </xf>
    <xf numFmtId="0" fontId="15" fillId="4" borderId="0" xfId="3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5" fillId="4" borderId="0" xfId="0" applyFont="1" applyFill="1" applyBorder="1" applyAlignment="1">
      <alignment vertical="top" wrapText="1"/>
    </xf>
    <xf numFmtId="0" fontId="21" fillId="4" borderId="0" xfId="0" applyFont="1" applyFill="1" applyBorder="1" applyAlignment="1">
      <alignment vertical="top" wrapText="1"/>
    </xf>
    <xf numFmtId="0" fontId="29" fillId="0" borderId="0" xfId="0" applyFont="1" applyFill="1" applyBorder="1" applyAlignment="1">
      <alignment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4" fillId="0" borderId="0" xfId="0" applyNumberFormat="1" applyFont="1" applyFill="1" applyBorder="1"/>
    <xf numFmtId="43" fontId="14" fillId="0" borderId="0" xfId="0" applyNumberFormat="1" applyFont="1" applyFill="1" applyBorder="1"/>
    <xf numFmtId="43" fontId="14" fillId="0" borderId="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right"/>
    </xf>
    <xf numFmtId="167" fontId="16" fillId="0" borderId="0" xfId="2" applyNumberFormat="1" applyFont="1" applyFill="1" applyBorder="1" applyAlignment="1">
      <alignment horizontal="right" vertical="center" wrapText="1"/>
    </xf>
    <xf numFmtId="167" fontId="16" fillId="0" borderId="0" xfId="0" applyNumberFormat="1" applyFont="1" applyFill="1" applyBorder="1"/>
    <xf numFmtId="0" fontId="14" fillId="0" borderId="0" xfId="0" applyFont="1" applyFill="1" applyBorder="1" applyAlignment="1">
      <alignment horizontal="right"/>
    </xf>
    <xf numFmtId="167" fontId="14" fillId="0" borderId="0" xfId="2" applyNumberFormat="1" applyFont="1" applyFill="1" applyBorder="1" applyAlignment="1">
      <alignment horizontal="right" vertical="center" wrapText="1"/>
    </xf>
    <xf numFmtId="167" fontId="16" fillId="0" borderId="0" xfId="2" applyNumberFormat="1" applyFont="1" applyFill="1" applyBorder="1" applyAlignment="1">
      <alignment vertical="center" wrapText="1"/>
    </xf>
    <xf numFmtId="43" fontId="14" fillId="0" borderId="0" xfId="2" applyNumberFormat="1" applyFont="1" applyFill="1" applyBorder="1"/>
    <xf numFmtId="43" fontId="14" fillId="0" borderId="0" xfId="2" applyFont="1" applyFill="1" applyBorder="1"/>
    <xf numFmtId="0" fontId="17" fillId="4" borderId="0" xfId="0" applyFont="1" applyFill="1" applyBorder="1" applyAlignment="1" applyProtection="1">
      <alignment horizontal="center"/>
      <protection locked="0"/>
    </xf>
    <xf numFmtId="0" fontId="14" fillId="4" borderId="0" xfId="0" applyFont="1" applyFill="1" applyBorder="1" applyAlignment="1" applyProtection="1">
      <alignment horizontal="center"/>
      <protection locked="0"/>
    </xf>
    <xf numFmtId="0" fontId="29" fillId="4" borderId="1" xfId="0" applyFont="1" applyFill="1" applyBorder="1" applyAlignment="1">
      <alignment horizontal="left" vertical="center" wrapText="1"/>
    </xf>
    <xf numFmtId="0" fontId="29" fillId="4" borderId="0" xfId="0" applyFont="1" applyFill="1" applyBorder="1" applyAlignment="1">
      <alignment horizontal="left" vertical="center" wrapText="1"/>
    </xf>
    <xf numFmtId="0" fontId="29" fillId="4" borderId="2" xfId="0" applyFont="1" applyFill="1" applyBorder="1" applyAlignment="1">
      <alignment horizontal="left" vertical="center" wrapText="1"/>
    </xf>
    <xf numFmtId="3" fontId="17" fillId="4" borderId="0" xfId="2" applyNumberFormat="1" applyFont="1" applyFill="1" applyBorder="1" applyAlignment="1" applyProtection="1">
      <alignment vertical="center"/>
      <protection locked="0"/>
    </xf>
    <xf numFmtId="0" fontId="3" fillId="4" borderId="0" xfId="3" applyFont="1" applyFill="1" applyBorder="1" applyAlignment="1">
      <alignment horizontal="left" vertical="top"/>
    </xf>
    <xf numFmtId="0" fontId="14" fillId="6" borderId="0" xfId="0" applyFont="1" applyFill="1"/>
    <xf numFmtId="0" fontId="14" fillId="6" borderId="0" xfId="0" applyFont="1" applyFill="1" applyAlignment="1">
      <alignment wrapText="1"/>
    </xf>
    <xf numFmtId="0" fontId="14" fillId="6" borderId="0" xfId="0" applyFont="1" applyFill="1" applyBorder="1"/>
    <xf numFmtId="0" fontId="14" fillId="6" borderId="0" xfId="0" applyFont="1" applyFill="1" applyBorder="1" applyAlignment="1">
      <alignment vertical="top"/>
    </xf>
    <xf numFmtId="0" fontId="14" fillId="6" borderId="0" xfId="0" applyFont="1" applyFill="1" applyBorder="1" applyAlignment="1">
      <alignment horizontal="right" vertical="top"/>
    </xf>
    <xf numFmtId="0" fontId="14" fillId="6" borderId="0" xfId="0" applyFont="1" applyFill="1" applyAlignment="1">
      <alignment vertical="top"/>
    </xf>
    <xf numFmtId="0" fontId="14" fillId="6" borderId="0" xfId="0" applyFont="1" applyFill="1" applyProtection="1">
      <protection locked="0"/>
    </xf>
    <xf numFmtId="0" fontId="14" fillId="6" borderId="0" xfId="0" applyFont="1" applyFill="1" applyAlignment="1" applyProtection="1">
      <alignment vertical="top"/>
      <protection locked="0"/>
    </xf>
    <xf numFmtId="0" fontId="14" fillId="6" borderId="0" xfId="0" applyFont="1" applyFill="1" applyAlignment="1" applyProtection="1">
      <protection locked="0"/>
    </xf>
    <xf numFmtId="0" fontId="14" fillId="6" borderId="0" xfId="0" applyFont="1" applyFill="1" applyAlignment="1" applyProtection="1">
      <alignment horizontal="right" vertical="top"/>
      <protection locked="0"/>
    </xf>
    <xf numFmtId="0" fontId="15" fillId="6" borderId="0" xfId="0" applyFont="1" applyFill="1" applyBorder="1" applyAlignment="1"/>
    <xf numFmtId="0" fontId="15" fillId="6" borderId="0" xfId="1" applyNumberFormat="1" applyFont="1" applyFill="1" applyBorder="1" applyAlignment="1">
      <alignment vertical="center"/>
    </xf>
    <xf numFmtId="0" fontId="15" fillId="6" borderId="0" xfId="1" applyNumberFormat="1" applyFont="1" applyFill="1" applyBorder="1" applyAlignment="1">
      <alignment horizontal="centerContinuous" vertical="center"/>
    </xf>
    <xf numFmtId="0" fontId="15" fillId="6" borderId="0" xfId="0" applyFont="1" applyFill="1" applyBorder="1" applyAlignment="1">
      <alignment horizontal="right"/>
    </xf>
    <xf numFmtId="0" fontId="15" fillId="6" borderId="0" xfId="1" applyNumberFormat="1" applyFont="1" applyFill="1" applyBorder="1" applyAlignment="1">
      <alignment horizontal="center" vertical="center"/>
    </xf>
    <xf numFmtId="0" fontId="15" fillId="6" borderId="0" xfId="1" applyNumberFormat="1" applyFont="1" applyFill="1" applyBorder="1" applyAlignment="1">
      <alignment horizontal="right" vertical="top"/>
    </xf>
    <xf numFmtId="0" fontId="19" fillId="6" borderId="7" xfId="0" applyFont="1" applyFill="1" applyBorder="1" applyAlignment="1">
      <alignment horizontal="centerContinuous"/>
    </xf>
    <xf numFmtId="0" fontId="18" fillId="6" borderId="8" xfId="0" applyFont="1" applyFill="1" applyBorder="1"/>
    <xf numFmtId="0" fontId="18" fillId="6" borderId="0" xfId="0" applyFont="1" applyFill="1" applyAlignment="1">
      <alignment vertical="top"/>
    </xf>
    <xf numFmtId="0" fontId="18" fillId="6" borderId="0" xfId="0" applyFont="1" applyFill="1" applyBorder="1"/>
    <xf numFmtId="0" fontId="18" fillId="6" borderId="2" xfId="0" applyFont="1" applyFill="1" applyBorder="1"/>
    <xf numFmtId="0" fontId="15" fillId="6" borderId="1" xfId="1" applyNumberFormat="1" applyFont="1" applyFill="1" applyBorder="1" applyAlignment="1">
      <alignment vertical="center"/>
    </xf>
    <xf numFmtId="0" fontId="14" fillId="6" borderId="2" xfId="0" applyFont="1" applyFill="1" applyBorder="1"/>
    <xf numFmtId="0" fontId="14" fillId="6" borderId="1" xfId="0" applyFont="1" applyFill="1" applyBorder="1" applyAlignment="1">
      <alignment vertical="top"/>
    </xf>
    <xf numFmtId="166" fontId="17" fillId="6" borderId="0" xfId="2" applyNumberFormat="1" applyFont="1" applyFill="1" applyBorder="1" applyAlignment="1">
      <alignment vertical="top"/>
    </xf>
    <xf numFmtId="0" fontId="17" fillId="6" borderId="0" xfId="0" applyFont="1" applyFill="1" applyBorder="1" applyAlignment="1">
      <alignment vertical="top"/>
    </xf>
    <xf numFmtId="0" fontId="15" fillId="6" borderId="0" xfId="0" applyFont="1" applyFill="1" applyBorder="1" applyAlignment="1">
      <alignment vertical="top"/>
    </xf>
    <xf numFmtId="0" fontId="15" fillId="6" borderId="0" xfId="0" applyFont="1" applyFill="1" applyBorder="1" applyAlignment="1">
      <alignment vertical="top" wrapText="1"/>
    </xf>
    <xf numFmtId="3" fontId="17" fillId="6" borderId="0" xfId="0" applyNumberFormat="1" applyFont="1" applyFill="1" applyBorder="1" applyAlignment="1">
      <alignment vertical="top"/>
    </xf>
    <xf numFmtId="3" fontId="15" fillId="6" borderId="0" xfId="0" applyNumberFormat="1" applyFont="1" applyFill="1" applyBorder="1" applyAlignment="1">
      <alignment vertical="top"/>
    </xf>
    <xf numFmtId="0" fontId="21" fillId="6" borderId="0" xfId="0" applyFont="1" applyFill="1" applyBorder="1" applyAlignment="1">
      <alignment vertical="top" wrapText="1"/>
    </xf>
    <xf numFmtId="0" fontId="21" fillId="6" borderId="0" xfId="0" applyFont="1" applyFill="1" applyBorder="1" applyAlignment="1">
      <alignment vertical="top"/>
    </xf>
    <xf numFmtId="3" fontId="17" fillId="6" borderId="0" xfId="0" applyNumberFormat="1" applyFont="1" applyFill="1" applyBorder="1" applyAlignment="1" applyProtection="1">
      <alignment vertical="top"/>
      <protection locked="0"/>
    </xf>
    <xf numFmtId="0" fontId="17" fillId="6" borderId="0" xfId="0" applyFont="1" applyFill="1" applyBorder="1" applyAlignment="1">
      <alignment vertical="top" wrapText="1"/>
    </xf>
    <xf numFmtId="0" fontId="17" fillId="6" borderId="0" xfId="0" applyFont="1" applyFill="1" applyBorder="1" applyAlignment="1">
      <alignment horizontal="left" vertical="top" wrapText="1"/>
    </xf>
    <xf numFmtId="3" fontId="17" fillId="6" borderId="0" xfId="2" applyNumberFormat="1" applyFont="1" applyFill="1" applyBorder="1" applyAlignment="1">
      <alignment vertical="top"/>
    </xf>
    <xf numFmtId="0" fontId="16" fillId="6" borderId="1" xfId="0" applyFont="1" applyFill="1" applyBorder="1" applyAlignment="1">
      <alignment vertical="top"/>
    </xf>
    <xf numFmtId="3" fontId="15" fillId="6" borderId="0" xfId="0" applyNumberFormat="1" applyFont="1" applyFill="1" applyBorder="1" applyAlignment="1" applyProtection="1">
      <alignment vertical="top"/>
    </xf>
    <xf numFmtId="0" fontId="16" fillId="6" borderId="0" xfId="0" applyFont="1" applyFill="1" applyBorder="1" applyAlignment="1">
      <alignment horizontal="right" vertical="top"/>
    </xf>
    <xf numFmtId="3" fontId="15" fillId="6" borderId="0" xfId="2" applyNumberFormat="1" applyFont="1" applyFill="1" applyBorder="1" applyAlignment="1">
      <alignment vertical="top"/>
    </xf>
    <xf numFmtId="0" fontId="15" fillId="6" borderId="0" xfId="0" applyFont="1" applyFill="1" applyBorder="1" applyAlignment="1">
      <alignment horizontal="left" vertical="top" wrapText="1"/>
    </xf>
    <xf numFmtId="0" fontId="14" fillId="6" borderId="0" xfId="0" applyFont="1" applyFill="1" applyBorder="1" applyAlignment="1">
      <alignment vertical="top" wrapText="1"/>
    </xf>
    <xf numFmtId="0" fontId="15" fillId="6" borderId="0" xfId="0" applyFont="1" applyFill="1" applyBorder="1" applyAlignment="1">
      <alignment horizontal="left" vertical="top"/>
    </xf>
    <xf numFmtId="3" fontId="14" fillId="6" borderId="0" xfId="0" applyNumberFormat="1" applyFont="1" applyFill="1" applyBorder="1"/>
    <xf numFmtId="3" fontId="20" fillId="6" borderId="0" xfId="2" applyNumberFormat="1" applyFont="1" applyFill="1" applyBorder="1" applyAlignment="1">
      <alignment vertical="top"/>
    </xf>
    <xf numFmtId="0" fontId="17" fillId="6" borderId="0" xfId="0" applyFont="1" applyFill="1" applyBorder="1" applyAlignment="1">
      <alignment horizontal="left" vertical="top"/>
    </xf>
    <xf numFmtId="170" fontId="14" fillId="6" borderId="0" xfId="0" applyNumberFormat="1" applyFont="1" applyFill="1" applyBorder="1"/>
    <xf numFmtId="0" fontId="14" fillId="6" borderId="3" xfId="0" applyFont="1" applyFill="1" applyBorder="1" applyAlignment="1">
      <alignment vertical="top"/>
    </xf>
    <xf numFmtId="0" fontId="14" fillId="6" borderId="4" xfId="0" applyFont="1" applyFill="1" applyBorder="1" applyAlignment="1">
      <alignment vertical="top"/>
    </xf>
    <xf numFmtId="0" fontId="14" fillId="6" borderId="4" xfId="0" applyFont="1" applyFill="1" applyBorder="1" applyAlignment="1">
      <alignment horizontal="right" vertical="top"/>
    </xf>
    <xf numFmtId="0" fontId="14" fillId="6" borderId="5" xfId="0" applyFont="1" applyFill="1" applyBorder="1"/>
    <xf numFmtId="0" fontId="17" fillId="6" borderId="0" xfId="0" applyFont="1" applyFill="1" applyBorder="1"/>
    <xf numFmtId="43" fontId="17" fillId="6" borderId="0" xfId="2" applyFont="1" applyFill="1" applyBorder="1"/>
    <xf numFmtId="0" fontId="17" fillId="6" borderId="0" xfId="0" applyFont="1" applyFill="1" applyBorder="1" applyAlignment="1">
      <alignment vertical="center"/>
    </xf>
    <xf numFmtId="0" fontId="14" fillId="6" borderId="4" xfId="0" applyFont="1" applyFill="1" applyBorder="1"/>
    <xf numFmtId="0" fontId="17" fillId="6" borderId="4" xfId="0" applyFont="1" applyFill="1" applyBorder="1" applyAlignment="1">
      <alignment vertical="top"/>
    </xf>
    <xf numFmtId="0" fontId="17" fillId="6" borderId="4" xfId="0" applyFont="1" applyFill="1" applyBorder="1"/>
    <xf numFmtId="43" fontId="17" fillId="6" borderId="4" xfId="2" applyFont="1" applyFill="1" applyBorder="1"/>
    <xf numFmtId="0" fontId="17" fillId="6" borderId="4" xfId="0" applyFont="1" applyFill="1" applyBorder="1" applyAlignment="1">
      <alignment vertical="center"/>
    </xf>
    <xf numFmtId="0" fontId="15" fillId="6" borderId="0" xfId="0" applyFont="1" applyFill="1" applyBorder="1" applyAlignment="1">
      <alignment horizontal="right" vertical="top"/>
    </xf>
    <xf numFmtId="43" fontId="17" fillId="6" borderId="0" xfId="2" applyFont="1" applyFill="1" applyBorder="1" applyAlignment="1">
      <alignment horizontal="right" vertical="top"/>
    </xf>
    <xf numFmtId="0" fontId="36" fillId="6" borderId="0" xfId="3" applyFont="1" applyFill="1" applyAlignment="1"/>
    <xf numFmtId="0" fontId="17" fillId="6" borderId="0" xfId="0" applyFont="1" applyFill="1" applyBorder="1" applyAlignment="1">
      <alignment horizontal="right"/>
    </xf>
    <xf numFmtId="43" fontId="17" fillId="6" borderId="0" xfId="2" applyFont="1" applyFill="1" applyBorder="1" applyAlignment="1">
      <alignment vertical="top"/>
    </xf>
    <xf numFmtId="167" fontId="14" fillId="4" borderId="0" xfId="2" applyNumberFormat="1" applyFont="1" applyFill="1" applyAlignment="1">
      <alignment horizontal="left" wrapText="1"/>
    </xf>
    <xf numFmtId="0" fontId="18" fillId="4" borderId="0" xfId="0" applyFont="1" applyFill="1" applyBorder="1" applyAlignment="1" applyProtection="1">
      <alignment horizontal="right"/>
    </xf>
    <xf numFmtId="3" fontId="17" fillId="0" borderId="0" xfId="2" applyNumberFormat="1" applyFont="1" applyFill="1" applyBorder="1" applyAlignment="1" applyProtection="1">
      <alignment vertical="top"/>
      <protection locked="0"/>
    </xf>
    <xf numFmtId="171" fontId="17" fillId="4" borderId="0" xfId="0" applyNumberFormat="1" applyFont="1" applyFill="1" applyBorder="1" applyAlignment="1" applyProtection="1">
      <alignment vertical="center"/>
    </xf>
    <xf numFmtId="0" fontId="14" fillId="4" borderId="13" xfId="0" applyFont="1" applyFill="1" applyBorder="1" applyAlignment="1">
      <alignment horizontal="center" vertical="center" wrapText="1"/>
    </xf>
    <xf numFmtId="43" fontId="39" fillId="0" borderId="0" xfId="2" applyFont="1" applyFill="1" applyBorder="1"/>
    <xf numFmtId="4" fontId="0" fillId="0" borderId="0" xfId="0" applyNumberFormat="1" applyBorder="1" applyAlignment="1">
      <alignment vertical="center"/>
    </xf>
    <xf numFmtId="168" fontId="14" fillId="0" borderId="0" xfId="0" applyNumberFormat="1" applyFont="1" applyBorder="1"/>
    <xf numFmtId="181" fontId="14" fillId="0" borderId="0" xfId="0" applyNumberFormat="1" applyFont="1" applyBorder="1"/>
    <xf numFmtId="169" fontId="14" fillId="0" borderId="0" xfId="0" applyNumberFormat="1" applyFont="1" applyBorder="1"/>
    <xf numFmtId="4" fontId="0" fillId="0" borderId="0" xfId="0" applyNumberFormat="1"/>
    <xf numFmtId="0" fontId="0" fillId="0" borderId="0" xfId="0" applyAlignment="1">
      <alignment vertical="center" wrapText="1"/>
    </xf>
    <xf numFmtId="4" fontId="0" fillId="0" borderId="0" xfId="0" applyNumberFormat="1" applyAlignment="1">
      <alignment vertical="center" wrapText="1"/>
    </xf>
    <xf numFmtId="8" fontId="0" fillId="0" borderId="0" xfId="0" applyNumberFormat="1" applyAlignment="1">
      <alignment vertical="center" wrapText="1"/>
    </xf>
    <xf numFmtId="0" fontId="29" fillId="4" borderId="0" xfId="0" applyFont="1" applyFill="1" applyBorder="1" applyAlignment="1">
      <alignment horizontal="left" vertical="center" wrapText="1"/>
    </xf>
    <xf numFmtId="0" fontId="29" fillId="4" borderId="1" xfId="0" applyFont="1" applyFill="1" applyBorder="1" applyAlignment="1">
      <alignment horizontal="left" vertical="center" wrapText="1"/>
    </xf>
    <xf numFmtId="0" fontId="31" fillId="4" borderId="1" xfId="0" applyFont="1" applyFill="1" applyBorder="1" applyAlignment="1">
      <alignment horizontal="left" vertical="center" wrapText="1"/>
    </xf>
    <xf numFmtId="0" fontId="31" fillId="4" borderId="0" xfId="0" applyFont="1" applyFill="1" applyBorder="1" applyAlignment="1">
      <alignment horizontal="left" vertical="center" wrapText="1"/>
    </xf>
    <xf numFmtId="43" fontId="14" fillId="4" borderId="0" xfId="2" applyFont="1" applyFill="1"/>
    <xf numFmtId="43" fontId="37" fillId="4" borderId="0" xfId="2" applyFont="1" applyFill="1"/>
    <xf numFmtId="43" fontId="8" fillId="4" borderId="0" xfId="2" applyFont="1" applyFill="1"/>
    <xf numFmtId="3" fontId="37" fillId="4" borderId="0" xfId="0" applyNumberFormat="1" applyFont="1" applyFill="1" applyBorder="1" applyAlignment="1">
      <alignment horizontal="right" vertical="top"/>
    </xf>
    <xf numFmtId="0" fontId="39" fillId="4" borderId="0" xfId="0" applyFont="1" applyFill="1"/>
    <xf numFmtId="0" fontId="37" fillId="4" borderId="0" xfId="0" applyFont="1" applyFill="1" applyAlignment="1">
      <alignment horizontal="center"/>
    </xf>
    <xf numFmtId="0" fontId="37" fillId="4" borderId="0" xfId="0" applyFont="1" applyFill="1"/>
    <xf numFmtId="43" fontId="37" fillId="11" borderId="0" xfId="2" applyFont="1" applyFill="1"/>
    <xf numFmtId="43" fontId="14" fillId="4" borderId="0" xfId="0" applyNumberFormat="1" applyFont="1" applyFill="1"/>
    <xf numFmtId="167" fontId="14" fillId="4" borderId="0" xfId="2" applyNumberFormat="1" applyFont="1" applyFill="1" applyAlignment="1">
      <alignment horizontal="right" wrapText="1"/>
    </xf>
    <xf numFmtId="165" fontId="44" fillId="6" borderId="0" xfId="2" applyNumberFormat="1" applyFont="1" applyFill="1" applyBorder="1" applyAlignment="1">
      <alignment horizontal="center"/>
    </xf>
    <xf numFmtId="43" fontId="12" fillId="6" borderId="0" xfId="2" applyFont="1" applyFill="1" applyBorder="1"/>
    <xf numFmtId="43" fontId="14" fillId="4" borderId="0" xfId="2" applyFont="1" applyFill="1" applyBorder="1"/>
    <xf numFmtId="4" fontId="14" fillId="4" borderId="0" xfId="0" applyNumberFormat="1" applyFont="1" applyFill="1"/>
    <xf numFmtId="182" fontId="14" fillId="4" borderId="0" xfId="0" applyNumberFormat="1" applyFont="1" applyFill="1" applyBorder="1"/>
    <xf numFmtId="43" fontId="14" fillId="0" borderId="0" xfId="2" applyNumberFormat="1" applyFont="1" applyFill="1"/>
    <xf numFmtId="43" fontId="16" fillId="0" borderId="0" xfId="2" applyNumberFormat="1" applyFont="1" applyFill="1"/>
    <xf numFmtId="0" fontId="16" fillId="4" borderId="0" xfId="4" applyFont="1" applyFill="1" applyAlignment="1">
      <alignment vertical="center"/>
    </xf>
    <xf numFmtId="0" fontId="30" fillId="4" borderId="9" xfId="4" applyFont="1" applyFill="1" applyBorder="1" applyAlignment="1">
      <alignment horizontal="center" vertical="center"/>
    </xf>
    <xf numFmtId="0" fontId="30" fillId="4" borderId="6" xfId="4" applyFont="1" applyFill="1" applyBorder="1" applyAlignment="1">
      <alignment horizontal="center" vertical="center"/>
    </xf>
    <xf numFmtId="3" fontId="15" fillId="4" borderId="16" xfId="0" applyNumberFormat="1" applyFont="1" applyFill="1" applyBorder="1" applyAlignment="1" applyProtection="1">
      <alignment horizontal="right" vertical="center"/>
      <protection locked="0"/>
    </xf>
    <xf numFmtId="0" fontId="16" fillId="4" borderId="0" xfId="0" applyFont="1" applyFill="1" applyAlignment="1">
      <alignment vertical="center"/>
    </xf>
    <xf numFmtId="3" fontId="15" fillId="4" borderId="0" xfId="0" applyNumberFormat="1" applyFont="1" applyFill="1" applyBorder="1" applyAlignment="1" applyProtection="1">
      <alignment horizontal="right" vertical="center"/>
      <protection locked="0"/>
    </xf>
    <xf numFmtId="43" fontId="14" fillId="0" borderId="0" xfId="2" applyFont="1" applyFill="1" applyBorder="1" applyAlignment="1">
      <alignment vertical="center"/>
    </xf>
    <xf numFmtId="43" fontId="14" fillId="0" borderId="0" xfId="2" applyNumberFormat="1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167" fontId="14" fillId="11" borderId="0" xfId="0" applyNumberFormat="1" applyFont="1" applyFill="1" applyBorder="1"/>
    <xf numFmtId="43" fontId="39" fillId="0" borderId="0" xfId="2" applyFont="1"/>
    <xf numFmtId="43" fontId="16" fillId="0" borderId="0" xfId="2" applyFont="1"/>
    <xf numFmtId="0" fontId="14" fillId="11" borderId="0" xfId="0" applyFont="1" applyFill="1"/>
    <xf numFmtId="43" fontId="14" fillId="11" borderId="0" xfId="2" applyFont="1" applyFill="1"/>
    <xf numFmtId="0" fontId="14" fillId="11" borderId="0" xfId="0" applyFont="1" applyFill="1" applyAlignment="1">
      <alignment horizontal="center"/>
    </xf>
    <xf numFmtId="0" fontId="14" fillId="2" borderId="0" xfId="0" applyFont="1" applyFill="1"/>
    <xf numFmtId="167" fontId="14" fillId="12" borderId="0" xfId="0" applyNumberFormat="1" applyFont="1" applyFill="1"/>
    <xf numFmtId="43" fontId="14" fillId="12" borderId="0" xfId="0" applyNumberFormat="1" applyFont="1" applyFill="1"/>
    <xf numFmtId="167" fontId="14" fillId="0" borderId="25" xfId="0" applyNumberFormat="1" applyFont="1" applyFill="1" applyBorder="1"/>
    <xf numFmtId="174" fontId="37" fillId="0" borderId="26" xfId="0" applyNumberFormat="1" applyFont="1" applyFill="1" applyBorder="1"/>
    <xf numFmtId="167" fontId="14" fillId="0" borderId="26" xfId="0" applyNumberFormat="1" applyFont="1" applyFill="1" applyBorder="1"/>
    <xf numFmtId="167" fontId="14" fillId="11" borderId="26" xfId="0" applyNumberFormat="1" applyFont="1" applyFill="1" applyBorder="1"/>
    <xf numFmtId="43" fontId="14" fillId="11" borderId="26" xfId="0" applyNumberFormat="1" applyFont="1" applyFill="1" applyBorder="1"/>
    <xf numFmtId="0" fontId="14" fillId="4" borderId="27" xfId="0" applyFont="1" applyFill="1" applyBorder="1"/>
    <xf numFmtId="168" fontId="14" fillId="0" borderId="28" xfId="0" applyNumberFormat="1" applyFont="1" applyFill="1" applyBorder="1"/>
    <xf numFmtId="0" fontId="14" fillId="4" borderId="29" xfId="0" applyFont="1" applyFill="1" applyBorder="1"/>
    <xf numFmtId="167" fontId="14" fillId="0" borderId="28" xfId="0" applyNumberFormat="1" applyFont="1" applyFill="1" applyBorder="1"/>
    <xf numFmtId="0" fontId="14" fillId="0" borderId="28" xfId="0" applyFont="1" applyFill="1" applyBorder="1"/>
    <xf numFmtId="0" fontId="14" fillId="0" borderId="28" xfId="0" applyFont="1" applyFill="1" applyBorder="1" applyAlignment="1">
      <alignment horizontal="center"/>
    </xf>
    <xf numFmtId="167" fontId="16" fillId="0" borderId="28" xfId="2" applyNumberFormat="1" applyFont="1" applyFill="1" applyBorder="1" applyAlignment="1">
      <alignment horizontal="right" vertical="center" wrapText="1"/>
    </xf>
    <xf numFmtId="167" fontId="14" fillId="0" borderId="30" xfId="2" applyNumberFormat="1" applyFont="1" applyFill="1" applyBorder="1" applyAlignment="1">
      <alignment horizontal="right" vertical="center" wrapText="1"/>
    </xf>
    <xf numFmtId="167" fontId="14" fillId="0" borderId="31" xfId="2" applyNumberFormat="1" applyFont="1" applyFill="1" applyBorder="1" applyAlignment="1">
      <alignment horizontal="right" vertical="center" wrapText="1"/>
    </xf>
    <xf numFmtId="167" fontId="14" fillId="0" borderId="31" xfId="0" applyNumberFormat="1" applyFont="1" applyFill="1" applyBorder="1"/>
    <xf numFmtId="43" fontId="39" fillId="0" borderId="31" xfId="2" applyFont="1" applyFill="1" applyBorder="1"/>
    <xf numFmtId="0" fontId="14" fillId="0" borderId="31" xfId="0" applyFont="1" applyBorder="1"/>
    <xf numFmtId="0" fontId="14" fillId="4" borderId="32" xfId="0" applyFont="1" applyFill="1" applyBorder="1"/>
    <xf numFmtId="0" fontId="14" fillId="13" borderId="0" xfId="0" applyFont="1" applyFill="1"/>
    <xf numFmtId="43" fontId="14" fillId="13" borderId="0" xfId="2" applyFont="1" applyFill="1"/>
    <xf numFmtId="0" fontId="14" fillId="12" borderId="0" xfId="0" applyFont="1" applyFill="1"/>
    <xf numFmtId="183" fontId="14" fillId="0" borderId="0" xfId="0" applyNumberFormat="1" applyFont="1"/>
    <xf numFmtId="0" fontId="14" fillId="12" borderId="0" xfId="0" applyFont="1" applyFill="1" applyAlignment="1">
      <alignment vertical="top"/>
    </xf>
    <xf numFmtId="167" fontId="37" fillId="12" borderId="0" xfId="0" applyNumberFormat="1" applyFont="1" applyFill="1" applyAlignment="1">
      <alignment vertical="top"/>
    </xf>
    <xf numFmtId="43" fontId="14" fillId="0" borderId="0" xfId="2" applyFont="1" applyAlignment="1">
      <alignment vertical="top"/>
    </xf>
    <xf numFmtId="43" fontId="16" fillId="0" borderId="0" xfId="2" applyFont="1" applyAlignment="1">
      <alignment vertical="top"/>
    </xf>
    <xf numFmtId="0" fontId="39" fillId="0" borderId="0" xfId="0" applyFont="1"/>
    <xf numFmtId="4" fontId="39" fillId="0" borderId="0" xfId="0" applyNumberFormat="1" applyFont="1"/>
    <xf numFmtId="4" fontId="39" fillId="13" borderId="0" xfId="0" applyNumberFormat="1" applyFont="1" applyFill="1"/>
    <xf numFmtId="43" fontId="37" fillId="13" borderId="0" xfId="2" applyFont="1" applyFill="1"/>
    <xf numFmtId="43" fontId="39" fillId="0" borderId="0" xfId="0" applyNumberFormat="1" applyFont="1"/>
    <xf numFmtId="43" fontId="13" fillId="0" borderId="0" xfId="0" applyNumberFormat="1" applyFont="1" applyBorder="1"/>
    <xf numFmtId="43" fontId="39" fillId="0" borderId="0" xfId="2" applyNumberFormat="1" applyFont="1" applyFill="1"/>
    <xf numFmtId="43" fontId="39" fillId="12" borderId="0" xfId="0" applyNumberFormat="1" applyFont="1" applyFill="1"/>
    <xf numFmtId="0" fontId="15" fillId="4" borderId="0" xfId="0" applyFont="1" applyFill="1" applyBorder="1" applyAlignment="1" applyProtection="1">
      <alignment horizontal="center" vertical="top"/>
    </xf>
    <xf numFmtId="0" fontId="17" fillId="4" borderId="0" xfId="0" applyFont="1" applyFill="1" applyBorder="1" applyAlignment="1">
      <alignment horizontal="left" vertical="top" wrapText="1"/>
    </xf>
    <xf numFmtId="0" fontId="15" fillId="4" borderId="0" xfId="0" applyFont="1" applyFill="1" applyBorder="1" applyAlignment="1">
      <alignment horizontal="center"/>
    </xf>
    <xf numFmtId="0" fontId="15" fillId="4" borderId="0" xfId="1" applyNumberFormat="1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justify" vertical="top" wrapText="1"/>
    </xf>
    <xf numFmtId="0" fontId="21" fillId="4" borderId="0" xfId="0" applyFont="1" applyFill="1" applyBorder="1" applyAlignment="1">
      <alignment horizontal="left" vertical="top" wrapText="1"/>
    </xf>
    <xf numFmtId="0" fontId="15" fillId="4" borderId="0" xfId="0" applyFont="1" applyFill="1" applyBorder="1" applyAlignment="1">
      <alignment horizontal="left" vertical="top" wrapText="1"/>
    </xf>
    <xf numFmtId="0" fontId="17" fillId="4" borderId="0" xfId="0" applyFont="1" applyFill="1" applyBorder="1" applyAlignment="1" applyProtection="1">
      <alignment horizontal="center" vertical="top" wrapText="1"/>
      <protection locked="0"/>
    </xf>
    <xf numFmtId="0" fontId="36" fillId="0" borderId="7" xfId="3" applyFont="1" applyBorder="1" applyAlignment="1">
      <alignment horizontal="center"/>
    </xf>
    <xf numFmtId="0" fontId="14" fillId="4" borderId="7" xfId="0" applyFont="1" applyFill="1" applyBorder="1" applyAlignment="1" applyProtection="1">
      <alignment horizontal="center"/>
      <protection locked="0"/>
    </xf>
    <xf numFmtId="0" fontId="17" fillId="4" borderId="4" xfId="0" applyFont="1" applyFill="1" applyBorder="1" applyAlignment="1" applyProtection="1">
      <alignment horizontal="center" vertical="center"/>
      <protection locked="0"/>
    </xf>
    <xf numFmtId="0" fontId="17" fillId="4" borderId="4" xfId="0" applyFont="1" applyFill="1" applyBorder="1" applyAlignment="1" applyProtection="1">
      <alignment horizontal="center"/>
      <protection locked="0"/>
    </xf>
    <xf numFmtId="0" fontId="17" fillId="4" borderId="0" xfId="0" applyFont="1" applyFill="1" applyBorder="1" applyAlignment="1">
      <alignment horizontal="left" vertical="top"/>
    </xf>
    <xf numFmtId="0" fontId="18" fillId="4" borderId="0" xfId="0" applyFont="1" applyFill="1" applyBorder="1" applyAlignment="1">
      <alignment horizontal="center" vertical="center" wrapText="1"/>
    </xf>
    <xf numFmtId="0" fontId="18" fillId="7" borderId="11" xfId="3" applyFont="1" applyFill="1" applyBorder="1" applyAlignment="1">
      <alignment horizontal="center" vertical="center"/>
    </xf>
    <xf numFmtId="0" fontId="18" fillId="7" borderId="1" xfId="3" applyFont="1" applyFill="1" applyBorder="1" applyAlignment="1">
      <alignment horizontal="center" vertical="center"/>
    </xf>
    <xf numFmtId="0" fontId="19" fillId="7" borderId="7" xfId="3" applyFont="1" applyFill="1" applyBorder="1" applyAlignment="1">
      <alignment horizontal="center" vertical="center"/>
    </xf>
    <xf numFmtId="0" fontId="19" fillId="7" borderId="0" xfId="3" applyFont="1" applyFill="1" applyBorder="1" applyAlignment="1">
      <alignment horizontal="center" vertical="center"/>
    </xf>
    <xf numFmtId="0" fontId="19" fillId="7" borderId="7" xfId="3" applyFont="1" applyFill="1" applyBorder="1" applyAlignment="1">
      <alignment horizontal="right" vertical="top"/>
    </xf>
    <xf numFmtId="0" fontId="19" fillId="7" borderId="0" xfId="3" applyFont="1" applyFill="1" applyBorder="1" applyAlignment="1">
      <alignment horizontal="right" vertical="top"/>
    </xf>
    <xf numFmtId="0" fontId="24" fillId="4" borderId="0" xfId="1" applyNumberFormat="1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vertical="top" wrapText="1"/>
    </xf>
    <xf numFmtId="0" fontId="15" fillId="4" borderId="0" xfId="0" applyFont="1" applyFill="1" applyBorder="1" applyAlignment="1">
      <alignment vertical="top" wrapText="1"/>
    </xf>
    <xf numFmtId="0" fontId="17" fillId="4" borderId="0" xfId="0" applyFont="1" applyFill="1" applyBorder="1" applyAlignment="1">
      <alignment horizontal="left" vertical="center" wrapText="1"/>
    </xf>
    <xf numFmtId="0" fontId="19" fillId="7" borderId="6" xfId="3" applyFont="1" applyFill="1" applyBorder="1" applyAlignment="1">
      <alignment horizontal="center" vertical="center"/>
    </xf>
    <xf numFmtId="0" fontId="15" fillId="4" borderId="0" xfId="3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4" borderId="0" xfId="0" applyFont="1" applyFill="1" applyAlignment="1" applyProtection="1">
      <alignment horizontal="right"/>
      <protection locked="0"/>
    </xf>
    <xf numFmtId="0" fontId="14" fillId="4" borderId="0" xfId="0" applyFont="1" applyFill="1" applyAlignment="1" applyProtection="1">
      <alignment horizontal="left"/>
      <protection locked="0"/>
    </xf>
    <xf numFmtId="0" fontId="17" fillId="4" borderId="0" xfId="0" applyNumberFormat="1" applyFont="1" applyFill="1" applyBorder="1" applyAlignment="1" applyProtection="1">
      <alignment horizontal="left"/>
      <protection locked="0"/>
    </xf>
    <xf numFmtId="0" fontId="16" fillId="4" borderId="0" xfId="0" applyFont="1" applyFill="1" applyBorder="1" applyAlignment="1">
      <alignment horizontal="left" vertical="top" wrapText="1"/>
    </xf>
    <xf numFmtId="0" fontId="15" fillId="4" borderId="14" xfId="0" applyFont="1" applyFill="1" applyBorder="1" applyAlignment="1">
      <alignment horizontal="left" vertical="top"/>
    </xf>
    <xf numFmtId="0" fontId="24" fillId="4" borderId="4" xfId="0" applyFont="1" applyFill="1" applyBorder="1" applyAlignment="1">
      <alignment horizontal="left" vertical="top"/>
    </xf>
    <xf numFmtId="3" fontId="17" fillId="4" borderId="4" xfId="0" applyNumberFormat="1" applyFont="1" applyFill="1" applyBorder="1" applyAlignment="1" applyProtection="1">
      <alignment horizontal="center" vertical="center"/>
      <protection locked="0"/>
    </xf>
    <xf numFmtId="0" fontId="24" fillId="4" borderId="0" xfId="3" applyFont="1" applyFill="1" applyBorder="1" applyAlignment="1">
      <alignment horizontal="center"/>
    </xf>
    <xf numFmtId="0" fontId="17" fillId="4" borderId="4" xfId="0" applyFont="1" applyFill="1" applyBorder="1" applyAlignment="1">
      <alignment horizontal="left" vertical="top" wrapText="1"/>
    </xf>
    <xf numFmtId="0" fontId="15" fillId="6" borderId="0" xfId="0" applyFont="1" applyFill="1" applyBorder="1" applyAlignment="1">
      <alignment horizontal="center"/>
    </xf>
    <xf numFmtId="0" fontId="15" fillId="6" borderId="0" xfId="1" applyNumberFormat="1" applyFont="1" applyFill="1" applyBorder="1" applyAlignment="1">
      <alignment horizontal="center" vertical="center"/>
    </xf>
    <xf numFmtId="0" fontId="24" fillId="6" borderId="0" xfId="1" applyNumberFormat="1" applyFont="1" applyFill="1" applyBorder="1" applyAlignment="1">
      <alignment horizontal="center" vertical="center"/>
    </xf>
    <xf numFmtId="0" fontId="21" fillId="6" borderId="0" xfId="0" applyFont="1" applyFill="1" applyBorder="1" applyAlignment="1">
      <alignment horizontal="left" vertical="top" wrapText="1"/>
    </xf>
    <xf numFmtId="0" fontId="17" fillId="6" borderId="0" xfId="0" applyFont="1" applyFill="1" applyBorder="1" applyAlignment="1">
      <alignment horizontal="left" vertical="top" wrapText="1"/>
    </xf>
    <xf numFmtId="0" fontId="18" fillId="6" borderId="11" xfId="3" applyFont="1" applyFill="1" applyBorder="1" applyAlignment="1">
      <alignment horizontal="center" vertical="center"/>
    </xf>
    <xf numFmtId="0" fontId="18" fillId="6" borderId="1" xfId="3" applyFont="1" applyFill="1" applyBorder="1" applyAlignment="1">
      <alignment horizontal="center" vertical="center"/>
    </xf>
    <xf numFmtId="0" fontId="19" fillId="6" borderId="7" xfId="3" applyFont="1" applyFill="1" applyBorder="1" applyAlignment="1">
      <alignment horizontal="center" vertical="center"/>
    </xf>
    <xf numFmtId="0" fontId="19" fillId="6" borderId="0" xfId="3" applyFont="1" applyFill="1" applyBorder="1" applyAlignment="1">
      <alignment horizontal="center" vertical="center"/>
    </xf>
    <xf numFmtId="0" fontId="19" fillId="6" borderId="7" xfId="3" applyFont="1" applyFill="1" applyBorder="1" applyAlignment="1">
      <alignment horizontal="right" vertical="top"/>
    </xf>
    <xf numFmtId="0" fontId="19" fillId="6" borderId="0" xfId="3" applyFont="1" applyFill="1" applyBorder="1" applyAlignment="1">
      <alignment horizontal="right" vertical="top"/>
    </xf>
    <xf numFmtId="0" fontId="15" fillId="6" borderId="0" xfId="0" applyFont="1" applyFill="1" applyBorder="1" applyAlignment="1">
      <alignment horizontal="left" vertical="top" wrapText="1"/>
    </xf>
    <xf numFmtId="0" fontId="17" fillId="6" borderId="0" xfId="0" applyFont="1" applyFill="1" applyBorder="1" applyAlignment="1">
      <alignment horizontal="justify" vertical="top" wrapText="1"/>
    </xf>
    <xf numFmtId="0" fontId="18" fillId="6" borderId="0" xfId="0" applyFont="1" applyFill="1" applyBorder="1" applyAlignment="1">
      <alignment horizontal="center" vertical="center" wrapText="1"/>
    </xf>
    <xf numFmtId="0" fontId="14" fillId="6" borderId="7" xfId="0" applyFont="1" applyFill="1" applyBorder="1" applyAlignment="1" applyProtection="1">
      <alignment horizontal="center"/>
      <protection locked="0"/>
    </xf>
    <xf numFmtId="0" fontId="36" fillId="6" borderId="7" xfId="3" applyFont="1" applyFill="1" applyBorder="1" applyAlignment="1">
      <alignment horizontal="center"/>
    </xf>
    <xf numFmtId="0" fontId="17" fillId="6" borderId="0" xfId="0" applyFont="1" applyFill="1" applyBorder="1" applyAlignment="1" applyProtection="1">
      <alignment horizontal="center" vertical="top" wrapText="1"/>
      <protection locked="0"/>
    </xf>
    <xf numFmtId="0" fontId="17" fillId="6" borderId="0" xfId="0" applyFont="1" applyFill="1" applyBorder="1" applyAlignment="1">
      <alignment horizontal="left" vertical="top"/>
    </xf>
    <xf numFmtId="0" fontId="17" fillId="6" borderId="4" xfId="0" applyFont="1" applyFill="1" applyBorder="1" applyAlignment="1" applyProtection="1">
      <alignment horizontal="center"/>
      <protection locked="0"/>
    </xf>
    <xf numFmtId="0" fontId="17" fillId="6" borderId="4" xfId="0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left" vertical="top" wrapText="1"/>
    </xf>
    <xf numFmtId="0" fontId="6" fillId="3" borderId="14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left" vertical="top" wrapText="1"/>
    </xf>
    <xf numFmtId="0" fontId="2" fillId="2" borderId="12" xfId="3" applyFont="1" applyFill="1" applyBorder="1" applyAlignment="1">
      <alignment horizontal="center" vertical="center"/>
    </xf>
    <xf numFmtId="0" fontId="2" fillId="2" borderId="13" xfId="3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left" vertical="top" wrapText="1"/>
    </xf>
    <xf numFmtId="0" fontId="2" fillId="3" borderId="0" xfId="0" applyFont="1" applyFill="1" applyBorder="1" applyAlignment="1">
      <alignment horizontal="right" vertical="distributed" wrapText="1"/>
    </xf>
    <xf numFmtId="0" fontId="6" fillId="3" borderId="15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19" fillId="7" borderId="6" xfId="0" applyFont="1" applyFill="1" applyBorder="1" applyAlignment="1">
      <alignment horizontal="center" vertical="center"/>
    </xf>
    <xf numFmtId="0" fontId="15" fillId="4" borderId="0" xfId="3" applyFont="1" applyFill="1" applyBorder="1" applyAlignment="1">
      <alignment horizontal="left" vertical="top"/>
    </xf>
    <xf numFmtId="0" fontId="17" fillId="4" borderId="0" xfId="3" applyFont="1" applyFill="1" applyBorder="1" applyAlignment="1">
      <alignment horizontal="left" vertical="top" wrapText="1"/>
    </xf>
    <xf numFmtId="0" fontId="17" fillId="4" borderId="0" xfId="3" applyFont="1" applyFill="1" applyBorder="1" applyAlignment="1">
      <alignment horizontal="left" vertical="top"/>
    </xf>
    <xf numFmtId="0" fontId="3" fillId="4" borderId="0" xfId="3" applyFont="1" applyFill="1" applyBorder="1" applyAlignment="1">
      <alignment horizontal="left" vertical="top"/>
    </xf>
    <xf numFmtId="0" fontId="15" fillId="4" borderId="0" xfId="3" applyFont="1" applyFill="1" applyBorder="1" applyAlignment="1">
      <alignment horizontal="left" vertical="top" wrapText="1"/>
    </xf>
    <xf numFmtId="43" fontId="17" fillId="4" borderId="4" xfId="2" applyFont="1" applyFill="1" applyBorder="1" applyAlignment="1" applyProtection="1">
      <alignment horizontal="center"/>
      <protection locked="0"/>
    </xf>
    <xf numFmtId="3" fontId="14" fillId="4" borderId="4" xfId="0" applyNumberFormat="1" applyFont="1" applyFill="1" applyBorder="1" applyAlignment="1" applyProtection="1">
      <alignment horizontal="center"/>
      <protection locked="0"/>
    </xf>
    <xf numFmtId="0" fontId="14" fillId="4" borderId="4" xfId="0" applyFont="1" applyFill="1" applyBorder="1" applyAlignment="1" applyProtection="1">
      <alignment horizontal="center"/>
      <protection locked="0"/>
    </xf>
    <xf numFmtId="0" fontId="40" fillId="4" borderId="0" xfId="3" applyFont="1" applyFill="1" applyBorder="1" applyAlignment="1">
      <alignment horizontal="left" vertical="top"/>
    </xf>
    <xf numFmtId="0" fontId="14" fillId="4" borderId="0" xfId="0" applyFont="1" applyFill="1" applyBorder="1" applyAlignment="1">
      <alignment horizontal="right"/>
    </xf>
    <xf numFmtId="0" fontId="14" fillId="4" borderId="0" xfId="0" applyFont="1" applyFill="1" applyBorder="1" applyAlignment="1">
      <alignment horizontal="left"/>
    </xf>
    <xf numFmtId="0" fontId="14" fillId="4" borderId="0" xfId="0" applyFont="1" applyFill="1" applyBorder="1" applyAlignment="1">
      <alignment horizontal="left" vertical="top"/>
    </xf>
    <xf numFmtId="0" fontId="24" fillId="4" borderId="0" xfId="0" applyFont="1" applyFill="1" applyBorder="1" applyAlignment="1">
      <alignment horizontal="center"/>
    </xf>
    <xf numFmtId="0" fontId="19" fillId="7" borderId="7" xfId="3" applyFont="1" applyFill="1" applyBorder="1" applyAlignment="1">
      <alignment horizontal="center" vertical="center" wrapText="1"/>
    </xf>
    <xf numFmtId="0" fontId="19" fillId="7" borderId="4" xfId="3" applyFont="1" applyFill="1" applyBorder="1" applyAlignment="1">
      <alignment horizontal="center" vertical="center" wrapText="1"/>
    </xf>
    <xf numFmtId="0" fontId="15" fillId="4" borderId="1" xfId="1" applyNumberFormat="1" applyFont="1" applyFill="1" applyBorder="1" applyAlignment="1">
      <alignment horizontal="center" vertical="center"/>
    </xf>
    <xf numFmtId="0" fontId="15" fillId="4" borderId="2" xfId="1" applyNumberFormat="1" applyFont="1" applyFill="1" applyBorder="1" applyAlignment="1">
      <alignment horizontal="center" vertical="center"/>
    </xf>
    <xf numFmtId="0" fontId="15" fillId="4" borderId="1" xfId="1" applyNumberFormat="1" applyFont="1" applyFill="1" applyBorder="1" applyAlignment="1">
      <alignment horizontal="center" vertical="top"/>
    </xf>
    <xf numFmtId="0" fontId="15" fillId="4" borderId="0" xfId="1" applyNumberFormat="1" applyFont="1" applyFill="1" applyBorder="1" applyAlignment="1">
      <alignment horizontal="center" vertical="top"/>
    </xf>
    <xf numFmtId="0" fontId="15" fillId="4" borderId="2" xfId="1" applyNumberFormat="1" applyFont="1" applyFill="1" applyBorder="1" applyAlignment="1">
      <alignment horizontal="center" vertical="top"/>
    </xf>
    <xf numFmtId="0" fontId="16" fillId="4" borderId="0" xfId="0" applyFont="1" applyFill="1" applyBorder="1" applyAlignment="1">
      <alignment horizontal="left" vertical="top"/>
    </xf>
    <xf numFmtId="0" fontId="14" fillId="4" borderId="3" xfId="0" applyFont="1" applyFill="1" applyBorder="1" applyAlignment="1">
      <alignment horizontal="center" vertical="top"/>
    </xf>
    <xf numFmtId="0" fontId="14" fillId="4" borderId="4" xfId="0" applyFont="1" applyFill="1" applyBorder="1" applyAlignment="1">
      <alignment horizontal="center" vertical="top"/>
    </xf>
    <xf numFmtId="0" fontId="14" fillId="4" borderId="5" xfId="0" applyFont="1" applyFill="1" applyBorder="1" applyAlignment="1">
      <alignment horizontal="center" vertical="top"/>
    </xf>
    <xf numFmtId="0" fontId="17" fillId="4" borderId="4" xfId="0" applyFont="1" applyFill="1" applyBorder="1" applyAlignment="1" applyProtection="1">
      <alignment horizontal="center" vertical="top"/>
      <protection locked="0"/>
    </xf>
    <xf numFmtId="0" fontId="15" fillId="4" borderId="0" xfId="0" applyFont="1" applyFill="1" applyBorder="1" applyAlignment="1" applyProtection="1">
      <alignment horizontal="left" vertical="top"/>
    </xf>
    <xf numFmtId="0" fontId="15" fillId="4" borderId="0" xfId="0" applyFont="1" applyFill="1" applyBorder="1" applyAlignment="1" applyProtection="1">
      <alignment horizontal="center" vertical="top"/>
    </xf>
    <xf numFmtId="0" fontId="15" fillId="4" borderId="0" xfId="1" applyNumberFormat="1" applyFont="1" applyFill="1" applyBorder="1" applyAlignment="1" applyProtection="1">
      <alignment horizontal="center" vertical="top"/>
    </xf>
    <xf numFmtId="0" fontId="15" fillId="4" borderId="2" xfId="1" applyNumberFormat="1" applyFont="1" applyFill="1" applyBorder="1" applyAlignment="1" applyProtection="1">
      <alignment horizontal="center" vertical="top"/>
    </xf>
    <xf numFmtId="0" fontId="15" fillId="4" borderId="0" xfId="3" applyFont="1" applyFill="1" applyBorder="1" applyAlignment="1" applyProtection="1">
      <alignment horizontal="center"/>
    </xf>
    <xf numFmtId="0" fontId="15" fillId="4" borderId="0" xfId="0" applyFont="1" applyFill="1" applyBorder="1" applyAlignment="1" applyProtection="1">
      <alignment horizontal="right"/>
    </xf>
    <xf numFmtId="0" fontId="17" fillId="4" borderId="0" xfId="0" applyNumberFormat="1" applyFont="1" applyFill="1" applyBorder="1" applyAlignment="1" applyProtection="1">
      <alignment horizontal="left"/>
    </xf>
    <xf numFmtId="0" fontId="15" fillId="4" borderId="0" xfId="1" applyNumberFormat="1" applyFont="1" applyFill="1" applyBorder="1" applyAlignment="1" applyProtection="1">
      <alignment horizontal="center" vertical="center"/>
    </xf>
    <xf numFmtId="0" fontId="19" fillId="7" borderId="6" xfId="3" applyFont="1" applyFill="1" applyBorder="1" applyAlignment="1" applyProtection="1">
      <alignment horizontal="center" vertical="center"/>
    </xf>
    <xf numFmtId="0" fontId="15" fillId="4" borderId="2" xfId="1" applyNumberFormat="1" applyFont="1" applyFill="1" applyBorder="1" applyAlignment="1" applyProtection="1">
      <alignment horizontal="center" vertical="center"/>
    </xf>
    <xf numFmtId="0" fontId="17" fillId="4" borderId="0" xfId="0" applyFont="1" applyFill="1" applyBorder="1" applyAlignment="1" applyProtection="1">
      <alignment horizontal="left" vertical="top"/>
    </xf>
    <xf numFmtId="0" fontId="17" fillId="4" borderId="0" xfId="0" applyFont="1" applyFill="1" applyBorder="1" applyAlignment="1" applyProtection="1">
      <alignment horizontal="left" vertical="top" indent="1"/>
    </xf>
    <xf numFmtId="0" fontId="21" fillId="4" borderId="4" xfId="0" applyFont="1" applyFill="1" applyBorder="1" applyAlignment="1" applyProtection="1">
      <alignment horizontal="left" vertical="top"/>
    </xf>
    <xf numFmtId="171" fontId="17" fillId="4" borderId="4" xfId="0" applyNumberFormat="1" applyFont="1" applyFill="1" applyBorder="1" applyAlignment="1" applyProtection="1">
      <alignment horizontal="center" vertical="center"/>
      <protection locked="0"/>
    </xf>
    <xf numFmtId="0" fontId="21" fillId="4" borderId="0" xfId="0" applyFont="1" applyFill="1" applyBorder="1" applyAlignment="1" applyProtection="1">
      <alignment horizontal="left" vertical="top"/>
    </xf>
    <xf numFmtId="0" fontId="15" fillId="4" borderId="0" xfId="0" applyFont="1" applyFill="1" applyBorder="1" applyAlignment="1" applyProtection="1">
      <alignment horizontal="left" vertical="top" readingOrder="1"/>
    </xf>
    <xf numFmtId="0" fontId="15" fillId="4" borderId="4" xfId="1" applyNumberFormat="1" applyFont="1" applyFill="1" applyBorder="1" applyAlignment="1" applyProtection="1">
      <alignment horizontal="center" vertical="center"/>
    </xf>
    <xf numFmtId="0" fontId="15" fillId="4" borderId="7" xfId="1" applyNumberFormat="1" applyFont="1" applyFill="1" applyBorder="1" applyAlignment="1" applyProtection="1">
      <alignment horizontal="center" vertical="center"/>
    </xf>
    <xf numFmtId="0" fontId="15" fillId="4" borderId="8" xfId="1" applyNumberFormat="1" applyFont="1" applyFill="1" applyBorder="1" applyAlignment="1" applyProtection="1">
      <alignment horizontal="center" vertical="center"/>
    </xf>
    <xf numFmtId="0" fontId="15" fillId="4" borderId="7" xfId="0" applyFont="1" applyFill="1" applyBorder="1" applyAlignment="1" applyProtection="1">
      <alignment horizontal="center" vertical="top"/>
    </xf>
    <xf numFmtId="0" fontId="29" fillId="4" borderId="0" xfId="0" applyFont="1" applyFill="1" applyBorder="1" applyAlignment="1">
      <alignment horizontal="left" vertical="center" wrapText="1"/>
    </xf>
    <xf numFmtId="0" fontId="29" fillId="4" borderId="2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29" fillId="4" borderId="0" xfId="0" applyFont="1" applyFill="1" applyBorder="1" applyAlignment="1">
      <alignment horizontal="left" wrapText="1"/>
    </xf>
    <xf numFmtId="0" fontId="29" fillId="4" borderId="2" xfId="0" applyFont="1" applyFill="1" applyBorder="1" applyAlignment="1">
      <alignment horizontal="left" wrapText="1"/>
    </xf>
    <xf numFmtId="0" fontId="19" fillId="8" borderId="11" xfId="0" applyFont="1" applyFill="1" applyBorder="1" applyAlignment="1">
      <alignment horizontal="center"/>
    </xf>
    <xf numFmtId="0" fontId="19" fillId="8" borderId="7" xfId="0" applyFont="1" applyFill="1" applyBorder="1" applyAlignment="1">
      <alignment horizontal="center"/>
    </xf>
    <xf numFmtId="0" fontId="19" fillId="8" borderId="8" xfId="0" applyFont="1" applyFill="1" applyBorder="1" applyAlignment="1">
      <alignment horizontal="center"/>
    </xf>
    <xf numFmtId="0" fontId="19" fillId="8" borderId="1" xfId="0" applyFont="1" applyFill="1" applyBorder="1" applyAlignment="1">
      <alignment horizontal="center"/>
    </xf>
    <xf numFmtId="0" fontId="19" fillId="8" borderId="0" xfId="0" applyFont="1" applyFill="1" applyBorder="1" applyAlignment="1">
      <alignment horizontal="center"/>
    </xf>
    <xf numFmtId="0" fontId="19" fillId="8" borderId="2" xfId="0" applyFont="1" applyFill="1" applyBorder="1" applyAlignment="1">
      <alignment horizontal="center"/>
    </xf>
    <xf numFmtId="0" fontId="19" fillId="8" borderId="3" xfId="0" applyFont="1" applyFill="1" applyBorder="1" applyAlignment="1">
      <alignment horizontal="center"/>
    </xf>
    <xf numFmtId="0" fontId="19" fillId="8" borderId="4" xfId="0" applyFont="1" applyFill="1" applyBorder="1" applyAlignment="1">
      <alignment horizontal="center"/>
    </xf>
    <xf numFmtId="0" fontId="19" fillId="8" borderId="5" xfId="0" applyFont="1" applyFill="1" applyBorder="1" applyAlignment="1">
      <alignment horizontal="center"/>
    </xf>
    <xf numFmtId="37" fontId="19" fillId="8" borderId="16" xfId="4" applyNumberFormat="1" applyFont="1" applyFill="1" applyBorder="1" applyAlignment="1">
      <alignment horizontal="center" vertical="center"/>
    </xf>
    <xf numFmtId="37" fontId="19" fillId="8" borderId="16" xfId="4" applyNumberFormat="1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left" vertical="top" wrapText="1"/>
    </xf>
    <xf numFmtId="167" fontId="30" fillId="4" borderId="17" xfId="4" applyNumberFormat="1" applyFont="1" applyFill="1" applyBorder="1" applyAlignment="1">
      <alignment horizontal="center"/>
    </xf>
    <xf numFmtId="167" fontId="30" fillId="4" borderId="19" xfId="4" applyNumberFormat="1" applyFont="1" applyFill="1" applyBorder="1" applyAlignment="1">
      <alignment horizontal="center"/>
    </xf>
    <xf numFmtId="0" fontId="15" fillId="0" borderId="9" xfId="0" applyFont="1" applyBorder="1" applyAlignment="1">
      <alignment horizontal="center" vertical="top" wrapText="1"/>
    </xf>
    <xf numFmtId="0" fontId="15" fillId="0" borderId="10" xfId="0" applyFont="1" applyBorder="1" applyAlignment="1">
      <alignment horizontal="center" vertical="top" wrapText="1"/>
    </xf>
    <xf numFmtId="0" fontId="29" fillId="4" borderId="1" xfId="0" applyFont="1" applyFill="1" applyBorder="1" applyAlignment="1">
      <alignment horizontal="left" vertical="center" wrapText="1"/>
    </xf>
    <xf numFmtId="167" fontId="31" fillId="4" borderId="17" xfId="2" applyNumberFormat="1" applyFont="1" applyFill="1" applyBorder="1" applyAlignment="1">
      <alignment horizontal="right" vertical="center" wrapText="1"/>
    </xf>
    <xf numFmtId="167" fontId="31" fillId="4" borderId="19" xfId="2" applyNumberFormat="1" applyFont="1" applyFill="1" applyBorder="1" applyAlignment="1">
      <alignment horizontal="right" vertical="center" wrapText="1"/>
    </xf>
    <xf numFmtId="0" fontId="31" fillId="4" borderId="1" xfId="0" applyFont="1" applyFill="1" applyBorder="1" applyAlignment="1">
      <alignment horizontal="left" vertical="center" wrapText="1"/>
    </xf>
    <xf numFmtId="0" fontId="31" fillId="4" borderId="0" xfId="0" applyFont="1" applyFill="1" applyBorder="1" applyAlignment="1">
      <alignment horizontal="left" vertical="center" wrapText="1"/>
    </xf>
    <xf numFmtId="0" fontId="31" fillId="4" borderId="2" xfId="0" applyFont="1" applyFill="1" applyBorder="1" applyAlignment="1">
      <alignment horizontal="left" vertical="center" wrapText="1"/>
    </xf>
    <xf numFmtId="0" fontId="16" fillId="8" borderId="11" xfId="0" applyFont="1" applyFill="1" applyBorder="1" applyAlignment="1">
      <alignment horizontal="center"/>
    </xf>
    <xf numFmtId="0" fontId="16" fillId="8" borderId="7" xfId="0" applyFont="1" applyFill="1" applyBorder="1" applyAlignment="1">
      <alignment horizontal="center"/>
    </xf>
    <xf numFmtId="0" fontId="16" fillId="8" borderId="8" xfId="0" applyFont="1" applyFill="1" applyBorder="1" applyAlignment="1">
      <alignment horizontal="center"/>
    </xf>
    <xf numFmtId="0" fontId="16" fillId="8" borderId="1" xfId="0" applyFont="1" applyFill="1" applyBorder="1" applyAlignment="1">
      <alignment horizontal="center"/>
    </xf>
    <xf numFmtId="0" fontId="16" fillId="8" borderId="0" xfId="0" applyFont="1" applyFill="1" applyBorder="1" applyAlignment="1">
      <alignment horizontal="center"/>
    </xf>
    <xf numFmtId="0" fontId="16" fillId="8" borderId="2" xfId="0" applyFont="1" applyFill="1" applyBorder="1" applyAlignment="1">
      <alignment horizontal="center"/>
    </xf>
    <xf numFmtId="0" fontId="16" fillId="8" borderId="3" xfId="0" applyFont="1" applyFill="1" applyBorder="1" applyAlignment="1">
      <alignment horizontal="center"/>
    </xf>
    <xf numFmtId="0" fontId="16" fillId="8" borderId="4" xfId="0" applyFont="1" applyFill="1" applyBorder="1" applyAlignment="1">
      <alignment horizontal="center"/>
    </xf>
    <xf numFmtId="0" fontId="16" fillId="8" borderId="5" xfId="0" applyFont="1" applyFill="1" applyBorder="1" applyAlignment="1">
      <alignment horizontal="center"/>
    </xf>
    <xf numFmtId="0" fontId="19" fillId="8" borderId="16" xfId="0" applyFont="1" applyFill="1" applyBorder="1" applyAlignment="1">
      <alignment horizontal="center" vertical="center"/>
    </xf>
    <xf numFmtId="0" fontId="19" fillId="8" borderId="16" xfId="0" applyFont="1" applyFill="1" applyBorder="1" applyAlignment="1">
      <alignment horizontal="center" vertical="center" wrapText="1"/>
    </xf>
    <xf numFmtId="0" fontId="14" fillId="11" borderId="0" xfId="0" applyFont="1" applyFill="1" applyAlignment="1">
      <alignment horizontal="center"/>
    </xf>
    <xf numFmtId="0" fontId="19" fillId="8" borderId="11" xfId="0" applyFont="1" applyFill="1" applyBorder="1" applyAlignment="1">
      <alignment horizontal="center" vertical="center"/>
    </xf>
    <xf numFmtId="0" fontId="19" fillId="8" borderId="8" xfId="0" applyFont="1" applyFill="1" applyBorder="1" applyAlignment="1">
      <alignment horizontal="center" vertical="center"/>
    </xf>
    <xf numFmtId="0" fontId="19" fillId="8" borderId="1" xfId="0" applyFont="1" applyFill="1" applyBorder="1" applyAlignment="1">
      <alignment horizontal="center" vertical="center"/>
    </xf>
    <xf numFmtId="0" fontId="19" fillId="8" borderId="2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19" fillId="8" borderId="5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left" vertical="top" wrapText="1"/>
    </xf>
    <xf numFmtId="0" fontId="16" fillId="4" borderId="2" xfId="0" applyFont="1" applyFill="1" applyBorder="1" applyAlignment="1">
      <alignment horizontal="left" vertical="top" wrapText="1"/>
    </xf>
    <xf numFmtId="0" fontId="16" fillId="0" borderId="1" xfId="0" applyFont="1" applyFill="1" applyBorder="1" applyAlignment="1">
      <alignment horizontal="left" vertical="top" wrapText="1"/>
    </xf>
    <xf numFmtId="0" fontId="16" fillId="0" borderId="2" xfId="0" applyFont="1" applyFill="1" applyBorder="1" applyAlignment="1">
      <alignment horizontal="left" vertical="top" wrapText="1"/>
    </xf>
    <xf numFmtId="0" fontId="14" fillId="4" borderId="9" xfId="0" applyFont="1" applyFill="1" applyBorder="1" applyAlignment="1">
      <alignment horizontal="center"/>
    </xf>
    <xf numFmtId="0" fontId="14" fillId="4" borderId="10" xfId="0" applyFont="1" applyFill="1" applyBorder="1" applyAlignment="1">
      <alignment horizontal="center"/>
    </xf>
    <xf numFmtId="167" fontId="14" fillId="4" borderId="9" xfId="2" applyNumberFormat="1" applyFont="1" applyFill="1" applyBorder="1" applyAlignment="1">
      <alignment horizontal="center"/>
    </xf>
    <xf numFmtId="167" fontId="14" fillId="4" borderId="10" xfId="2" applyNumberFormat="1" applyFont="1" applyFill="1" applyBorder="1" applyAlignment="1">
      <alignment horizontal="center"/>
    </xf>
    <xf numFmtId="0" fontId="14" fillId="4" borderId="16" xfId="0" applyFont="1" applyFill="1" applyBorder="1" applyAlignment="1">
      <alignment horizontal="center"/>
    </xf>
    <xf numFmtId="4" fontId="37" fillId="0" borderId="0" xfId="0" applyNumberFormat="1" applyFont="1" applyAlignment="1">
      <alignment horizontal="center"/>
    </xf>
    <xf numFmtId="167" fontId="14" fillId="4" borderId="16" xfId="0" applyNumberFormat="1" applyFont="1" applyFill="1" applyBorder="1" applyAlignment="1">
      <alignment horizontal="center"/>
    </xf>
    <xf numFmtId="3" fontId="14" fillId="4" borderId="16" xfId="0" applyNumberFormat="1" applyFont="1" applyFill="1" applyBorder="1" applyAlignment="1">
      <alignment horizontal="left"/>
    </xf>
    <xf numFmtId="0" fontId="14" fillId="4" borderId="16" xfId="0" applyFont="1" applyFill="1" applyBorder="1" applyAlignment="1">
      <alignment horizontal="left"/>
    </xf>
    <xf numFmtId="0" fontId="19" fillId="8" borderId="16" xfId="3" applyFont="1" applyFill="1" applyBorder="1" applyAlignment="1">
      <alignment horizontal="center"/>
    </xf>
    <xf numFmtId="0" fontId="19" fillId="0" borderId="9" xfId="0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6" fillId="4" borderId="9" xfId="0" applyFont="1" applyFill="1" applyBorder="1" applyAlignment="1">
      <alignment horizontal="center"/>
    </xf>
    <xf numFmtId="0" fontId="16" fillId="4" borderId="6" xfId="0" applyFont="1" applyFill="1" applyBorder="1" applyAlignment="1">
      <alignment horizontal="center"/>
    </xf>
    <xf numFmtId="0" fontId="16" fillId="4" borderId="10" xfId="0" applyFont="1" applyFill="1" applyBorder="1" applyAlignment="1">
      <alignment horizontal="center"/>
    </xf>
    <xf numFmtId="0" fontId="16" fillId="4" borderId="9" xfId="0" applyFont="1" applyFill="1" applyBorder="1" applyAlignment="1">
      <alignment horizontal="left" vertical="center" wrapText="1"/>
    </xf>
    <xf numFmtId="0" fontId="16" fillId="4" borderId="10" xfId="0" applyFont="1" applyFill="1" applyBorder="1" applyAlignment="1">
      <alignment horizontal="left" vertical="center" wrapText="1"/>
    </xf>
    <xf numFmtId="0" fontId="14" fillId="4" borderId="0" xfId="0" applyFont="1" applyFill="1" applyAlignment="1">
      <alignment horizontal="left" wrapText="1"/>
    </xf>
    <xf numFmtId="0" fontId="14" fillId="4" borderId="0" xfId="0" applyFont="1" applyFill="1" applyAlignment="1">
      <alignment horizontal="left"/>
    </xf>
    <xf numFmtId="0" fontId="16" fillId="4" borderId="3" xfId="0" applyFont="1" applyFill="1" applyBorder="1" applyAlignment="1">
      <alignment horizontal="left" vertical="center" wrapText="1"/>
    </xf>
    <xf numFmtId="0" fontId="16" fillId="4" borderId="5" xfId="0" applyFont="1" applyFill="1" applyBorder="1" applyAlignment="1">
      <alignment horizontal="left" vertical="center" wrapText="1"/>
    </xf>
    <xf numFmtId="0" fontId="16" fillId="4" borderId="23" xfId="0" applyFont="1" applyFill="1" applyBorder="1" applyAlignment="1">
      <alignment horizontal="left" vertical="top" wrapText="1" indent="1"/>
    </xf>
    <xf numFmtId="0" fontId="16" fillId="4" borderId="24" xfId="0" applyFont="1" applyFill="1" applyBorder="1" applyAlignment="1">
      <alignment horizontal="left" vertical="top" wrapText="1" indent="1"/>
    </xf>
    <xf numFmtId="0" fontId="14" fillId="4" borderId="0" xfId="0" applyFont="1" applyFill="1" applyBorder="1" applyAlignment="1">
      <alignment horizontal="justify" vertical="center" wrapText="1"/>
    </xf>
    <xf numFmtId="0" fontId="14" fillId="4" borderId="2" xfId="0" applyFont="1" applyFill="1" applyBorder="1" applyAlignment="1">
      <alignment horizontal="justify" vertical="center" wrapText="1"/>
    </xf>
    <xf numFmtId="0" fontId="14" fillId="4" borderId="1" xfId="0" applyFont="1" applyFill="1" applyBorder="1" applyAlignment="1">
      <alignment horizontal="left" vertical="center" wrapText="1"/>
    </xf>
    <xf numFmtId="0" fontId="14" fillId="4" borderId="0" xfId="0" applyFont="1" applyFill="1" applyBorder="1" applyAlignment="1">
      <alignment horizontal="left" vertical="center" wrapText="1"/>
    </xf>
    <xf numFmtId="0" fontId="14" fillId="4" borderId="2" xfId="0" applyFont="1" applyFill="1" applyBorder="1" applyAlignment="1">
      <alignment horizontal="left" vertical="center" wrapText="1"/>
    </xf>
    <xf numFmtId="0" fontId="16" fillId="4" borderId="6" xfId="0" applyFont="1" applyFill="1" applyBorder="1" applyAlignment="1">
      <alignment horizontal="left" vertical="center" wrapText="1" indent="3"/>
    </xf>
    <xf numFmtId="0" fontId="16" fillId="4" borderId="10" xfId="0" applyFont="1" applyFill="1" applyBorder="1" applyAlignment="1">
      <alignment horizontal="left" vertical="center" wrapText="1" indent="3"/>
    </xf>
    <xf numFmtId="0" fontId="19" fillId="8" borderId="7" xfId="0" applyFont="1" applyFill="1" applyBorder="1" applyAlignment="1">
      <alignment horizontal="center" vertical="center"/>
    </xf>
    <xf numFmtId="0" fontId="19" fillId="8" borderId="0" xfId="0" applyFont="1" applyFill="1" applyBorder="1" applyAlignment="1">
      <alignment horizontal="center" vertical="center"/>
    </xf>
    <xf numFmtId="0" fontId="19" fillId="8" borderId="4" xfId="0" applyFont="1" applyFill="1" applyBorder="1" applyAlignment="1">
      <alignment horizontal="center" vertical="center"/>
    </xf>
    <xf numFmtId="0" fontId="35" fillId="9" borderId="25" xfId="0" applyFont="1" applyFill="1" applyBorder="1" applyAlignment="1">
      <alignment horizontal="center" vertical="center"/>
    </xf>
    <xf numFmtId="0" fontId="35" fillId="9" borderId="26" xfId="0" applyFont="1" applyFill="1" applyBorder="1" applyAlignment="1">
      <alignment horizontal="center" vertical="center"/>
    </xf>
    <xf numFmtId="0" fontId="35" fillId="9" borderId="27" xfId="0" applyFont="1" applyFill="1" applyBorder="1" applyAlignment="1">
      <alignment horizontal="center" vertical="center"/>
    </xf>
    <xf numFmtId="0" fontId="35" fillId="9" borderId="28" xfId="0" applyFont="1" applyFill="1" applyBorder="1" applyAlignment="1">
      <alignment horizontal="center" vertical="center"/>
    </xf>
    <xf numFmtId="0" fontId="35" fillId="9" borderId="0" xfId="0" applyFont="1" applyFill="1" applyBorder="1" applyAlignment="1">
      <alignment horizontal="center" vertical="center"/>
    </xf>
    <xf numFmtId="0" fontId="35" fillId="9" borderId="29" xfId="0" applyFont="1" applyFill="1" applyBorder="1" applyAlignment="1">
      <alignment horizontal="center" vertical="center"/>
    </xf>
    <xf numFmtId="0" fontId="35" fillId="9" borderId="30" xfId="0" applyFont="1" applyFill="1" applyBorder="1" applyAlignment="1">
      <alignment horizontal="center" vertical="center"/>
    </xf>
    <xf numFmtId="0" fontId="35" fillId="9" borderId="31" xfId="0" applyFont="1" applyFill="1" applyBorder="1" applyAlignment="1">
      <alignment horizontal="center" vertical="center"/>
    </xf>
    <xf numFmtId="0" fontId="35" fillId="9" borderId="32" xfId="0" applyFont="1" applyFill="1" applyBorder="1" applyAlignment="1">
      <alignment horizontal="center" vertical="center"/>
    </xf>
    <xf numFmtId="0" fontId="14" fillId="4" borderId="33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4" fillId="4" borderId="20" xfId="0" applyFont="1" applyFill="1" applyBorder="1" applyAlignment="1">
      <alignment horizontal="center" vertical="center" wrapText="1"/>
    </xf>
    <xf numFmtId="0" fontId="14" fillId="4" borderId="34" xfId="0" applyFont="1" applyFill="1" applyBorder="1" applyAlignment="1">
      <alignment horizontal="center" vertical="center" wrapText="1"/>
    </xf>
    <xf numFmtId="0" fontId="16" fillId="4" borderId="33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</cellXfs>
  <cellStyles count="11">
    <cellStyle name="=C:\WINNT\SYSTEM32\COMMAND.COM" xfId="1"/>
    <cellStyle name="Comma 2" xfId="7"/>
    <cellStyle name="Millares" xfId="2" builtinId="3"/>
    <cellStyle name="Millares 2" xfId="5"/>
    <cellStyle name="Moneda 2" xfId="6"/>
    <cellStyle name="Moneda 2 2" xfId="9"/>
    <cellStyle name="Moneda 3" xfId="8"/>
    <cellStyle name="Normal" xfId="0" builtinId="0"/>
    <cellStyle name="Normal 2" xfId="3"/>
    <cellStyle name="Normal 3" xfId="10"/>
    <cellStyle name="Normal 9" xfId="4"/>
  </cellStyles>
  <dxfs count="4"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295275</xdr:colOff>
      <xdr:row>7</xdr:row>
      <xdr:rowOff>19051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149923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28576</xdr:rowOff>
    </xdr:from>
    <xdr:to>
      <xdr:col>10</xdr:col>
      <xdr:colOff>28576</xdr:colOff>
      <xdr:row>6</xdr:row>
      <xdr:rowOff>152400</xdr:rowOff>
    </xdr:to>
    <xdr:pic>
      <xdr:nvPicPr>
        <xdr:cNvPr id="4" name="Imagen 3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28576"/>
          <a:ext cx="9982200" cy="1209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59532</xdr:colOff>
      <xdr:row>0</xdr:row>
      <xdr:rowOff>69058</xdr:rowOff>
    </xdr:from>
    <xdr:to>
      <xdr:col>10</xdr:col>
      <xdr:colOff>2381</xdr:colOff>
      <xdr:row>7</xdr:row>
      <xdr:rowOff>11907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9082" y="69058"/>
          <a:ext cx="11791949" cy="1209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19050</xdr:colOff>
      <xdr:row>6</xdr:row>
      <xdr:rowOff>123824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982075" cy="1209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19050</xdr:colOff>
      <xdr:row>5</xdr:row>
      <xdr:rowOff>123825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93916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8</xdr:col>
      <xdr:colOff>838201</xdr:colOff>
      <xdr:row>6</xdr:row>
      <xdr:rowOff>133350</xdr:rowOff>
    </xdr:to>
    <xdr:pic>
      <xdr:nvPicPr>
        <xdr:cNvPr id="3" name="Imagen 2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84391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19049</xdr:colOff>
      <xdr:row>6</xdr:row>
      <xdr:rowOff>76200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9534524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47625</xdr:rowOff>
    </xdr:from>
    <xdr:to>
      <xdr:col>8</xdr:col>
      <xdr:colOff>28576</xdr:colOff>
      <xdr:row>5</xdr:row>
      <xdr:rowOff>123825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025" y="47625"/>
          <a:ext cx="7762876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1619250</xdr:colOff>
      <xdr:row>5</xdr:row>
      <xdr:rowOff>142875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4579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5</xdr:col>
      <xdr:colOff>0</xdr:colOff>
      <xdr:row>5</xdr:row>
      <xdr:rowOff>142875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0"/>
          <a:ext cx="61531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0</xdr:rowOff>
    </xdr:from>
    <xdr:to>
      <xdr:col>9</xdr:col>
      <xdr:colOff>847724</xdr:colOff>
      <xdr:row>6</xdr:row>
      <xdr:rowOff>47624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49" y="0"/>
          <a:ext cx="9953625" cy="1133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275167</xdr:colOff>
      <xdr:row>6</xdr:row>
      <xdr:rowOff>21167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829242" cy="1107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85725</xdr:rowOff>
    </xdr:from>
    <xdr:to>
      <xdr:col>4</xdr:col>
      <xdr:colOff>0</xdr:colOff>
      <xdr:row>6</xdr:row>
      <xdr:rowOff>38100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0" y="85725"/>
          <a:ext cx="57626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</xdr:row>
      <xdr:rowOff>85725</xdr:rowOff>
    </xdr:from>
    <xdr:to>
      <xdr:col>3</xdr:col>
      <xdr:colOff>0</xdr:colOff>
      <xdr:row>7</xdr:row>
      <xdr:rowOff>38100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9626" y="276225"/>
          <a:ext cx="9877424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171450</xdr:colOff>
      <xdr:row>7</xdr:row>
      <xdr:rowOff>66675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09061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</xdr:rowOff>
    </xdr:from>
    <xdr:to>
      <xdr:col>12</xdr:col>
      <xdr:colOff>266700</xdr:colOff>
      <xdr:row>8</xdr:row>
      <xdr:rowOff>1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142208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89</xdr:row>
      <xdr:rowOff>1</xdr:rowOff>
    </xdr:from>
    <xdr:to>
      <xdr:col>10</xdr:col>
      <xdr:colOff>295275</xdr:colOff>
      <xdr:row>96</xdr:row>
      <xdr:rowOff>19051</xdr:rowOff>
    </xdr:to>
    <xdr:pic>
      <xdr:nvPicPr>
        <xdr:cNvPr id="4" name="Imagen 3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149923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104775</xdr:colOff>
      <xdr:row>6</xdr:row>
      <xdr:rowOff>66675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46304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69273</xdr:colOff>
      <xdr:row>8</xdr:row>
      <xdr:rowOff>25978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1049000" cy="1117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228599</xdr:colOff>
      <xdr:row>8</xdr:row>
      <xdr:rowOff>34637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0706099" cy="127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228599</xdr:colOff>
      <xdr:row>8</xdr:row>
      <xdr:rowOff>34637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0706099" cy="127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19051</xdr:rowOff>
    </xdr:from>
    <xdr:to>
      <xdr:col>9</xdr:col>
      <xdr:colOff>1381126</xdr:colOff>
      <xdr:row>6</xdr:row>
      <xdr:rowOff>142875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00150" y="19051"/>
          <a:ext cx="12449176" cy="1209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M80"/>
  <sheetViews>
    <sheetView zoomScale="90" zoomScaleNormal="90" zoomScalePageLayoutView="80" workbookViewId="0">
      <selection activeCell="B56" sqref="B56"/>
    </sheetView>
  </sheetViews>
  <sheetFormatPr baseColWidth="10" defaultRowHeight="14.25" x14ac:dyDescent="0.2"/>
  <cols>
    <col min="1" max="1" width="4.85546875" style="19" customWidth="1"/>
    <col min="2" max="2" width="27.5703125" style="41" customWidth="1"/>
    <col min="3" max="3" width="37.85546875" style="19" customWidth="1"/>
    <col min="4" max="5" width="21" style="19" customWidth="1"/>
    <col min="6" max="6" width="11" style="81" customWidth="1"/>
    <col min="7" max="8" width="27.5703125" style="19" customWidth="1"/>
    <col min="9" max="10" width="21" style="19" customWidth="1"/>
    <col min="11" max="11" width="4.85546875" style="17" customWidth="1"/>
    <col min="12" max="12" width="1.7109375" style="82" customWidth="1"/>
    <col min="13" max="13" width="14.85546875" style="19" bestFit="1" customWidth="1"/>
    <col min="14" max="16384" width="11.42578125" style="19"/>
  </cols>
  <sheetData>
    <row r="7" spans="1:12" ht="6" customHeight="1" x14ac:dyDescent="0.2">
      <c r="A7" s="83"/>
      <c r="B7" s="84"/>
      <c r="C7" s="83"/>
      <c r="D7" s="85"/>
      <c r="E7" s="85"/>
      <c r="F7" s="86"/>
      <c r="G7" s="85"/>
      <c r="H7" s="85"/>
      <c r="I7" s="85"/>
      <c r="J7" s="83"/>
      <c r="K7" s="83"/>
    </row>
    <row r="8" spans="1:12" ht="6" customHeight="1" x14ac:dyDescent="0.2">
      <c r="K8" s="19"/>
      <c r="L8" s="41"/>
    </row>
    <row r="9" spans="1:12" ht="14.1" customHeight="1" x14ac:dyDescent="0.25">
      <c r="B9" s="87"/>
      <c r="C9" s="718" t="s">
        <v>795</v>
      </c>
      <c r="D9" s="718"/>
      <c r="E9" s="718"/>
      <c r="F9" s="718"/>
      <c r="G9" s="718"/>
      <c r="H9" s="718"/>
      <c r="I9" s="718"/>
      <c r="J9" s="87"/>
      <c r="K9" s="87"/>
      <c r="L9" s="41"/>
    </row>
    <row r="10" spans="1:12" ht="14.1" customHeight="1" x14ac:dyDescent="0.25">
      <c r="B10" s="87"/>
      <c r="C10" s="718" t="s">
        <v>0</v>
      </c>
      <c r="D10" s="718"/>
      <c r="E10" s="718"/>
      <c r="F10" s="718"/>
      <c r="G10" s="718"/>
      <c r="H10" s="718"/>
      <c r="I10" s="718"/>
      <c r="J10" s="87"/>
      <c r="K10" s="87"/>
    </row>
    <row r="11" spans="1:12" ht="14.1" customHeight="1" x14ac:dyDescent="0.25">
      <c r="B11" s="87"/>
      <c r="C11" s="718" t="s">
        <v>788</v>
      </c>
      <c r="D11" s="718"/>
      <c r="E11" s="718"/>
      <c r="F11" s="718"/>
      <c r="G11" s="718"/>
      <c r="H11" s="718"/>
      <c r="I11" s="718"/>
      <c r="J11" s="87"/>
      <c r="K11" s="87"/>
    </row>
    <row r="12" spans="1:12" ht="14.1" customHeight="1" x14ac:dyDescent="0.2">
      <c r="B12" s="88"/>
      <c r="C12" s="719" t="s">
        <v>1</v>
      </c>
      <c r="D12" s="719"/>
      <c r="E12" s="719"/>
      <c r="F12" s="719"/>
      <c r="G12" s="719"/>
      <c r="H12" s="719"/>
      <c r="I12" s="719"/>
      <c r="J12" s="88"/>
      <c r="K12" s="88"/>
    </row>
    <row r="13" spans="1:12" ht="20.100000000000001" customHeight="1" x14ac:dyDescent="0.25">
      <c r="A13" s="89"/>
      <c r="B13" s="24"/>
      <c r="C13" s="736" t="s">
        <v>388</v>
      </c>
      <c r="D13" s="736"/>
      <c r="E13" s="736"/>
      <c r="F13" s="736"/>
      <c r="G13" s="736"/>
      <c r="H13" s="736"/>
      <c r="I13" s="736"/>
      <c r="J13" s="115"/>
    </row>
    <row r="14" spans="1:12" ht="3" customHeight="1" x14ac:dyDescent="0.2">
      <c r="A14" s="88"/>
      <c r="B14" s="88"/>
      <c r="C14" s="88"/>
      <c r="D14" s="88"/>
      <c r="E14" s="88"/>
      <c r="F14" s="90"/>
      <c r="G14" s="88"/>
      <c r="H14" s="88"/>
      <c r="I14" s="88"/>
      <c r="J14" s="88"/>
      <c r="K14" s="19"/>
      <c r="L14" s="41"/>
    </row>
    <row r="15" spans="1:12" ht="3" customHeight="1" x14ac:dyDescent="0.2">
      <c r="A15" s="88"/>
      <c r="B15" s="88"/>
      <c r="C15" s="88"/>
      <c r="D15" s="88"/>
      <c r="E15" s="88"/>
      <c r="F15" s="90"/>
      <c r="G15" s="88"/>
      <c r="H15" s="88"/>
      <c r="I15" s="88"/>
      <c r="J15" s="88"/>
    </row>
    <row r="16" spans="1:12" s="94" customFormat="1" ht="15" customHeight="1" x14ac:dyDescent="0.25">
      <c r="A16" s="730"/>
      <c r="B16" s="732" t="s">
        <v>77</v>
      </c>
      <c r="C16" s="732"/>
      <c r="D16" s="91" t="s">
        <v>5</v>
      </c>
      <c r="E16" s="91"/>
      <c r="F16" s="734"/>
      <c r="G16" s="732" t="s">
        <v>77</v>
      </c>
      <c r="H16" s="732"/>
      <c r="I16" s="91" t="s">
        <v>5</v>
      </c>
      <c r="J16" s="91"/>
      <c r="K16" s="92"/>
      <c r="L16" s="93"/>
    </row>
    <row r="17" spans="1:12" s="94" customFormat="1" ht="15" customHeight="1" x14ac:dyDescent="0.25">
      <c r="A17" s="731"/>
      <c r="B17" s="733"/>
      <c r="C17" s="733"/>
      <c r="D17" s="95">
        <v>2016</v>
      </c>
      <c r="E17" s="95">
        <v>2015</v>
      </c>
      <c r="F17" s="735"/>
      <c r="G17" s="733"/>
      <c r="H17" s="733"/>
      <c r="I17" s="95">
        <v>2016</v>
      </c>
      <c r="J17" s="95">
        <v>2015</v>
      </c>
      <c r="K17" s="96"/>
      <c r="L17" s="93"/>
    </row>
    <row r="18" spans="1:12" ht="3" customHeight="1" x14ac:dyDescent="0.2">
      <c r="A18" s="97"/>
      <c r="B18" s="88"/>
      <c r="C18" s="88"/>
      <c r="D18" s="88"/>
      <c r="E18" s="88"/>
      <c r="F18" s="90"/>
      <c r="G18" s="88"/>
      <c r="H18" s="88"/>
      <c r="I18" s="88"/>
      <c r="J18" s="88"/>
      <c r="K18" s="38"/>
      <c r="L18" s="41"/>
    </row>
    <row r="19" spans="1:12" ht="3" customHeight="1" x14ac:dyDescent="0.2">
      <c r="A19" s="97"/>
      <c r="B19" s="88"/>
      <c r="C19" s="88"/>
      <c r="D19" s="88"/>
      <c r="E19" s="88"/>
      <c r="F19" s="90"/>
      <c r="G19" s="88"/>
      <c r="H19" s="88"/>
      <c r="I19" s="88"/>
      <c r="J19" s="88"/>
      <c r="K19" s="38"/>
    </row>
    <row r="20" spans="1:12" ht="15" x14ac:dyDescent="0.2">
      <c r="A20" s="98"/>
      <c r="B20" s="722" t="s">
        <v>6</v>
      </c>
      <c r="C20" s="722"/>
      <c r="D20" s="99"/>
      <c r="E20" s="49"/>
      <c r="G20" s="722" t="s">
        <v>7</v>
      </c>
      <c r="H20" s="722"/>
      <c r="I20" s="75"/>
      <c r="J20" s="75"/>
      <c r="K20" s="38"/>
    </row>
    <row r="21" spans="1:12" ht="5.0999999999999996" customHeight="1" x14ac:dyDescent="0.2">
      <c r="A21" s="98"/>
      <c r="B21" s="48"/>
      <c r="C21" s="75"/>
      <c r="D21" s="40"/>
      <c r="E21" s="40"/>
      <c r="G21" s="48"/>
      <c r="H21" s="75"/>
      <c r="I21" s="44"/>
      <c r="J21" s="44"/>
      <c r="K21" s="38"/>
    </row>
    <row r="22" spans="1:12" x14ac:dyDescent="0.2">
      <c r="A22" s="98"/>
      <c r="B22" s="721" t="s">
        <v>8</v>
      </c>
      <c r="C22" s="721"/>
      <c r="D22" s="40"/>
      <c r="E22" s="40"/>
      <c r="G22" s="721" t="s">
        <v>9</v>
      </c>
      <c r="H22" s="721"/>
      <c r="I22" s="40"/>
      <c r="J22" s="40"/>
      <c r="K22" s="38"/>
    </row>
    <row r="23" spans="1:12" ht="5.0999999999999996" customHeight="1" x14ac:dyDescent="0.2">
      <c r="A23" s="98"/>
      <c r="B23" s="60"/>
      <c r="C23" s="52"/>
      <c r="D23" s="40"/>
      <c r="E23" s="40"/>
      <c r="G23" s="60"/>
      <c r="H23" s="52"/>
      <c r="I23" s="40"/>
      <c r="J23" s="40"/>
      <c r="K23" s="38"/>
    </row>
    <row r="24" spans="1:12" x14ac:dyDescent="0.2">
      <c r="A24" s="98"/>
      <c r="B24" s="717" t="s">
        <v>10</v>
      </c>
      <c r="C24" s="717"/>
      <c r="D24" s="51">
        <v>1736017847.46</v>
      </c>
      <c r="E24" s="51">
        <v>1692666437.73</v>
      </c>
      <c r="F24" s="649"/>
      <c r="G24" s="717" t="s">
        <v>11</v>
      </c>
      <c r="H24" s="717"/>
      <c r="I24" s="51">
        <v>3435836999.0700002</v>
      </c>
      <c r="J24" s="51">
        <v>3161126527.0500002</v>
      </c>
      <c r="K24" s="38"/>
    </row>
    <row r="25" spans="1:12" x14ac:dyDescent="0.2">
      <c r="A25" s="98"/>
      <c r="B25" s="717" t="s">
        <v>12</v>
      </c>
      <c r="C25" s="717"/>
      <c r="D25" s="51">
        <v>1098788879.9300001</v>
      </c>
      <c r="E25" s="51">
        <v>877621814</v>
      </c>
      <c r="F25" s="649"/>
      <c r="G25" s="717" t="s">
        <v>13</v>
      </c>
      <c r="H25" s="717"/>
      <c r="I25" s="51">
        <v>0</v>
      </c>
      <c r="J25" s="51">
        <v>0</v>
      </c>
      <c r="K25" s="38"/>
    </row>
    <row r="26" spans="1:12" x14ac:dyDescent="0.2">
      <c r="A26" s="98"/>
      <c r="B26" s="717" t="s">
        <v>14</v>
      </c>
      <c r="C26" s="717"/>
      <c r="D26" s="51">
        <v>4118027.31</v>
      </c>
      <c r="E26" s="51">
        <v>9102469.75</v>
      </c>
      <c r="F26" s="649"/>
      <c r="G26" s="717" t="s">
        <v>15</v>
      </c>
      <c r="H26" s="717"/>
      <c r="I26" s="51">
        <v>0</v>
      </c>
      <c r="J26" s="51">
        <v>0</v>
      </c>
      <c r="K26" s="38"/>
    </row>
    <row r="27" spans="1:12" x14ac:dyDescent="0.2">
      <c r="A27" s="98"/>
      <c r="B27" s="717" t="s">
        <v>16</v>
      </c>
      <c r="C27" s="717"/>
      <c r="D27" s="51">
        <v>0</v>
      </c>
      <c r="E27" s="51">
        <v>0</v>
      </c>
      <c r="F27" s="649"/>
      <c r="G27" s="717" t="s">
        <v>17</v>
      </c>
      <c r="H27" s="717"/>
      <c r="I27" s="51">
        <v>0</v>
      </c>
      <c r="J27" s="51">
        <v>0</v>
      </c>
      <c r="K27" s="38"/>
    </row>
    <row r="28" spans="1:12" x14ac:dyDescent="0.2">
      <c r="A28" s="98"/>
      <c r="B28" s="717" t="s">
        <v>18</v>
      </c>
      <c r="C28" s="717"/>
      <c r="D28" s="51">
        <v>1102672.22</v>
      </c>
      <c r="E28" s="51">
        <v>24695107.960000001</v>
      </c>
      <c r="F28" s="649"/>
      <c r="G28" s="717" t="s">
        <v>19</v>
      </c>
      <c r="H28" s="717"/>
      <c r="I28" s="51">
        <v>0</v>
      </c>
      <c r="J28" s="51">
        <v>0</v>
      </c>
      <c r="K28" s="38"/>
    </row>
    <row r="29" spans="1:12" ht="28.5" customHeight="1" x14ac:dyDescent="0.2">
      <c r="A29" s="98"/>
      <c r="B29" s="717" t="s">
        <v>20</v>
      </c>
      <c r="C29" s="717"/>
      <c r="D29" s="51">
        <v>0</v>
      </c>
      <c r="E29" s="51">
        <v>0</v>
      </c>
      <c r="F29" s="649"/>
      <c r="G29" s="720" t="s">
        <v>21</v>
      </c>
      <c r="H29" s="720"/>
      <c r="I29" s="51">
        <v>23777280.579999998</v>
      </c>
      <c r="J29" s="51">
        <v>22184119.579999998</v>
      </c>
      <c r="K29" s="38"/>
    </row>
    <row r="30" spans="1:12" x14ac:dyDescent="0.2">
      <c r="A30" s="98"/>
      <c r="B30" s="717" t="s">
        <v>22</v>
      </c>
      <c r="C30" s="717"/>
      <c r="D30" s="51">
        <v>0</v>
      </c>
      <c r="E30" s="51">
        <v>0</v>
      </c>
      <c r="F30" s="649"/>
      <c r="G30" s="717" t="s">
        <v>23</v>
      </c>
      <c r="H30" s="717"/>
      <c r="I30" s="51">
        <v>0</v>
      </c>
      <c r="J30" s="51">
        <v>0</v>
      </c>
      <c r="K30" s="38"/>
    </row>
    <row r="31" spans="1:12" x14ac:dyDescent="0.2">
      <c r="A31" s="98"/>
      <c r="B31" s="100"/>
      <c r="C31" s="101"/>
      <c r="D31" s="102"/>
      <c r="E31" s="102"/>
      <c r="G31" s="717" t="s">
        <v>24</v>
      </c>
      <c r="H31" s="717"/>
      <c r="I31" s="51">
        <v>0</v>
      </c>
      <c r="J31" s="51">
        <v>0</v>
      </c>
      <c r="K31" s="38"/>
    </row>
    <row r="32" spans="1:12" ht="15" x14ac:dyDescent="0.2">
      <c r="A32" s="103"/>
      <c r="B32" s="721" t="s">
        <v>25</v>
      </c>
      <c r="C32" s="721"/>
      <c r="D32" s="104">
        <f>SUM(D24:D30)</f>
        <v>2840027426.9200001</v>
      </c>
      <c r="E32" s="104">
        <f>SUM(E24:E30)</f>
        <v>2604085829.4400001</v>
      </c>
      <c r="F32" s="105"/>
      <c r="G32" s="48"/>
      <c r="H32" s="75"/>
      <c r="I32" s="56"/>
      <c r="J32" s="56"/>
      <c r="K32" s="38"/>
    </row>
    <row r="33" spans="1:11" ht="15" x14ac:dyDescent="0.2">
      <c r="A33" s="103"/>
      <c r="B33" s="48"/>
      <c r="C33" s="106"/>
      <c r="D33" s="56"/>
      <c r="E33" s="56"/>
      <c r="F33" s="105"/>
      <c r="G33" s="721" t="s">
        <v>26</v>
      </c>
      <c r="H33" s="721"/>
      <c r="I33" s="104">
        <f>SUM(I24:I31)</f>
        <v>3459614279.6500001</v>
      </c>
      <c r="J33" s="104">
        <f>SUM(J24:J31)</f>
        <v>3183310646.6300001</v>
      </c>
      <c r="K33" s="38"/>
    </row>
    <row r="34" spans="1:11" x14ac:dyDescent="0.2">
      <c r="A34" s="98"/>
      <c r="B34" s="100"/>
      <c r="C34" s="100"/>
      <c r="D34" s="102"/>
      <c r="E34" s="102"/>
      <c r="G34" s="107"/>
      <c r="H34" s="101"/>
      <c r="I34" s="102"/>
      <c r="J34" s="102"/>
      <c r="K34" s="38"/>
    </row>
    <row r="35" spans="1:11" x14ac:dyDescent="0.2">
      <c r="A35" s="98"/>
      <c r="B35" s="721" t="s">
        <v>27</v>
      </c>
      <c r="C35" s="721"/>
      <c r="D35" s="40"/>
      <c r="E35" s="40"/>
      <c r="G35" s="721" t="s">
        <v>28</v>
      </c>
      <c r="H35" s="721"/>
      <c r="I35" s="40"/>
      <c r="J35" s="40"/>
      <c r="K35" s="38"/>
    </row>
    <row r="36" spans="1:11" x14ac:dyDescent="0.2">
      <c r="A36" s="98"/>
      <c r="B36" s="100"/>
      <c r="C36" s="100"/>
      <c r="D36" s="102"/>
      <c r="E36" s="102"/>
      <c r="G36" s="100"/>
      <c r="H36" s="101"/>
      <c r="I36" s="102"/>
      <c r="J36" s="102"/>
      <c r="K36" s="38"/>
    </row>
    <row r="37" spans="1:11" x14ac:dyDescent="0.2">
      <c r="A37" s="98"/>
      <c r="B37" s="717" t="s">
        <v>29</v>
      </c>
      <c r="C37" s="717"/>
      <c r="D37" s="51">
        <v>648869844.78999996</v>
      </c>
      <c r="E37" s="51">
        <v>501780867.79000002</v>
      </c>
      <c r="G37" s="717" t="s">
        <v>30</v>
      </c>
      <c r="H37" s="717"/>
      <c r="I37" s="51">
        <v>0</v>
      </c>
      <c r="J37" s="51">
        <v>0</v>
      </c>
      <c r="K37" s="38"/>
    </row>
    <row r="38" spans="1:11" x14ac:dyDescent="0.2">
      <c r="A38" s="98"/>
      <c r="B38" s="717" t="s">
        <v>31</v>
      </c>
      <c r="C38" s="717"/>
      <c r="D38" s="51">
        <v>0</v>
      </c>
      <c r="E38" s="51">
        <v>0</v>
      </c>
      <c r="G38" s="717" t="s">
        <v>32</v>
      </c>
      <c r="H38" s="717"/>
      <c r="I38" s="51">
        <v>0</v>
      </c>
      <c r="J38" s="51">
        <v>0</v>
      </c>
      <c r="K38" s="38"/>
    </row>
    <row r="39" spans="1:11" x14ac:dyDescent="0.2">
      <c r="A39" s="98"/>
      <c r="B39" s="717" t="s">
        <v>33</v>
      </c>
      <c r="C39" s="717"/>
      <c r="D39" s="51">
        <v>35925837564.269997</v>
      </c>
      <c r="E39" s="51">
        <v>17855756003.700001</v>
      </c>
      <c r="G39" s="717" t="s">
        <v>34</v>
      </c>
      <c r="H39" s="717"/>
      <c r="I39" s="51">
        <v>36494044029.010002</v>
      </c>
      <c r="J39" s="51">
        <v>37513829440.599998</v>
      </c>
      <c r="K39" s="38"/>
    </row>
    <row r="40" spans="1:11" x14ac:dyDescent="0.2">
      <c r="A40" s="98"/>
      <c r="B40" s="717" t="s">
        <v>35</v>
      </c>
      <c r="C40" s="717"/>
      <c r="D40" s="51">
        <v>2969920899.6399999</v>
      </c>
      <c r="E40" s="51">
        <v>2758724707.4000001</v>
      </c>
      <c r="G40" s="717" t="s">
        <v>36</v>
      </c>
      <c r="H40" s="717"/>
      <c r="I40" s="51">
        <v>0</v>
      </c>
      <c r="J40" s="51">
        <v>0</v>
      </c>
      <c r="K40" s="38"/>
    </row>
    <row r="41" spans="1:11" ht="26.25" customHeight="1" x14ac:dyDescent="0.2">
      <c r="A41" s="98"/>
      <c r="B41" s="717" t="s">
        <v>37</v>
      </c>
      <c r="C41" s="717"/>
      <c r="D41" s="51">
        <v>42181522.609999999</v>
      </c>
      <c r="E41" s="51">
        <v>35933969.060000002</v>
      </c>
      <c r="G41" s="720" t="s">
        <v>38</v>
      </c>
      <c r="H41" s="720"/>
      <c r="I41" s="51">
        <v>0</v>
      </c>
      <c r="J41" s="51">
        <v>0</v>
      </c>
      <c r="K41" s="38"/>
    </row>
    <row r="42" spans="1:11" x14ac:dyDescent="0.2">
      <c r="A42" s="98"/>
      <c r="B42" s="717" t="s">
        <v>39</v>
      </c>
      <c r="C42" s="717"/>
      <c r="D42" s="51">
        <v>0</v>
      </c>
      <c r="E42" s="51">
        <v>0</v>
      </c>
      <c r="G42" s="717" t="s">
        <v>40</v>
      </c>
      <c r="H42" s="717"/>
      <c r="I42" s="51">
        <v>0</v>
      </c>
      <c r="J42" s="51">
        <v>0</v>
      </c>
      <c r="K42" s="38"/>
    </row>
    <row r="43" spans="1:11" x14ac:dyDescent="0.2">
      <c r="A43" s="98"/>
      <c r="B43" s="717" t="s">
        <v>41</v>
      </c>
      <c r="C43" s="717"/>
      <c r="D43" s="51">
        <v>0</v>
      </c>
      <c r="E43" s="51">
        <v>0</v>
      </c>
      <c r="G43" s="100"/>
      <c r="H43" s="101"/>
      <c r="I43" s="102"/>
      <c r="J43" s="102"/>
      <c r="K43" s="38"/>
    </row>
    <row r="44" spans="1:11" ht="15" x14ac:dyDescent="0.2">
      <c r="A44" s="98"/>
      <c r="B44" s="717" t="s">
        <v>42</v>
      </c>
      <c r="C44" s="717"/>
      <c r="D44" s="51">
        <v>0</v>
      </c>
      <c r="E44" s="51">
        <v>0</v>
      </c>
      <c r="G44" s="721" t="s">
        <v>43</v>
      </c>
      <c r="H44" s="721"/>
      <c r="I44" s="104">
        <f>SUM(I37:I42)</f>
        <v>36494044029.010002</v>
      </c>
      <c r="J44" s="104">
        <f>SUM(J37:J42)</f>
        <v>37513829440.599998</v>
      </c>
      <c r="K44" s="38"/>
    </row>
    <row r="45" spans="1:11" ht="15" x14ac:dyDescent="0.2">
      <c r="A45" s="98"/>
      <c r="B45" s="717" t="s">
        <v>44</v>
      </c>
      <c r="C45" s="717"/>
      <c r="D45" s="51">
        <v>0</v>
      </c>
      <c r="E45" s="51">
        <v>0</v>
      </c>
      <c r="G45" s="48"/>
      <c r="H45" s="106"/>
      <c r="I45" s="56"/>
      <c r="J45" s="56"/>
      <c r="K45" s="38"/>
    </row>
    <row r="46" spans="1:11" ht="15" x14ac:dyDescent="0.2">
      <c r="A46" s="98"/>
      <c r="B46" s="100"/>
      <c r="C46" s="101"/>
      <c r="D46" s="102"/>
      <c r="E46" s="102"/>
      <c r="G46" s="721" t="s">
        <v>190</v>
      </c>
      <c r="H46" s="721"/>
      <c r="I46" s="104">
        <f>I33+I44</f>
        <v>39953658308.660004</v>
      </c>
      <c r="J46" s="104">
        <f>J33+J44</f>
        <v>40697140087.229996</v>
      </c>
      <c r="K46" s="38"/>
    </row>
    <row r="47" spans="1:11" ht="15" x14ac:dyDescent="0.2">
      <c r="A47" s="103"/>
      <c r="B47" s="721" t="s">
        <v>46</v>
      </c>
      <c r="C47" s="721"/>
      <c r="D47" s="104">
        <f>SUM(D37:D45)</f>
        <v>39586809831.309998</v>
      </c>
      <c r="E47" s="104">
        <f>SUM(E37:E45)</f>
        <v>21152195547.950005</v>
      </c>
      <c r="F47" s="105"/>
      <c r="G47" s="48"/>
      <c r="H47" s="108"/>
      <c r="I47" s="56"/>
      <c r="J47" s="56"/>
      <c r="K47" s="38"/>
    </row>
    <row r="48" spans="1:11" ht="15" x14ac:dyDescent="0.2">
      <c r="A48" s="98"/>
      <c r="B48" s="100"/>
      <c r="C48" s="48"/>
      <c r="D48" s="102"/>
      <c r="E48" s="102"/>
      <c r="G48" s="722" t="s">
        <v>47</v>
      </c>
      <c r="H48" s="722"/>
      <c r="I48" s="102"/>
      <c r="J48" s="102"/>
      <c r="K48" s="38"/>
    </row>
    <row r="49" spans="1:13" ht="15" x14ac:dyDescent="0.2">
      <c r="A49" s="98"/>
      <c r="B49" s="721" t="s">
        <v>191</v>
      </c>
      <c r="C49" s="721"/>
      <c r="D49" s="104">
        <f>D32+D47</f>
        <v>42426837258.229996</v>
      </c>
      <c r="E49" s="104">
        <f>E32+E47</f>
        <v>23756281377.390003</v>
      </c>
      <c r="G49" s="48"/>
      <c r="H49" s="108"/>
      <c r="I49" s="102"/>
      <c r="J49" s="102"/>
      <c r="K49" s="38"/>
    </row>
    <row r="50" spans="1:13" ht="15" x14ac:dyDescent="0.2">
      <c r="A50" s="98"/>
      <c r="B50" s="100"/>
      <c r="C50" s="100"/>
      <c r="D50" s="102"/>
      <c r="E50" s="102"/>
      <c r="G50" s="721" t="s">
        <v>49</v>
      </c>
      <c r="H50" s="721"/>
      <c r="I50" s="104">
        <f>SUM(I52:I54)</f>
        <v>19318026978.370003</v>
      </c>
      <c r="J50" s="104">
        <f>SUM(J52:J54)</f>
        <v>19318026978.369999</v>
      </c>
      <c r="K50" s="38"/>
    </row>
    <row r="51" spans="1:13" x14ac:dyDescent="0.2">
      <c r="A51" s="98"/>
      <c r="B51" s="100"/>
      <c r="C51" s="100"/>
      <c r="D51" s="102"/>
      <c r="E51" s="102"/>
      <c r="G51" s="100"/>
      <c r="H51" s="49"/>
      <c r="I51" s="102"/>
      <c r="J51" s="102"/>
      <c r="K51" s="38"/>
    </row>
    <row r="52" spans="1:13" x14ac:dyDescent="0.2">
      <c r="A52" s="98"/>
      <c r="B52" s="100"/>
      <c r="C52" s="100"/>
      <c r="D52" s="102"/>
      <c r="E52" s="102"/>
      <c r="G52" s="717" t="s">
        <v>50</v>
      </c>
      <c r="H52" s="717"/>
      <c r="I52" s="416">
        <f>52267507495.97-32949480517.6</f>
        <v>19318026978.370003</v>
      </c>
      <c r="J52" s="51">
        <v>19318026978.369999</v>
      </c>
      <c r="K52" s="38"/>
      <c r="M52" s="347"/>
    </row>
    <row r="53" spans="1:13" x14ac:dyDescent="0.2">
      <c r="A53" s="98"/>
      <c r="B53" s="100"/>
      <c r="C53" s="729"/>
      <c r="D53" s="729"/>
      <c r="E53" s="102"/>
      <c r="G53" s="717" t="s">
        <v>51</v>
      </c>
      <c r="H53" s="717"/>
      <c r="I53" s="51">
        <v>0</v>
      </c>
      <c r="J53" s="51">
        <v>0</v>
      </c>
      <c r="K53" s="38"/>
    </row>
    <row r="54" spans="1:13" x14ac:dyDescent="0.2">
      <c r="A54" s="98"/>
      <c r="B54" s="100"/>
      <c r="C54" s="729"/>
      <c r="D54" s="729"/>
      <c r="E54" s="102"/>
      <c r="G54" s="717" t="s">
        <v>52</v>
      </c>
      <c r="H54" s="717"/>
      <c r="I54" s="51">
        <v>0</v>
      </c>
      <c r="J54" s="51">
        <v>0</v>
      </c>
      <c r="K54" s="38"/>
    </row>
    <row r="55" spans="1:13" x14ac:dyDescent="0.2">
      <c r="A55" s="98"/>
      <c r="B55" s="100"/>
      <c r="C55" s="729"/>
      <c r="D55" s="729"/>
      <c r="E55" s="102"/>
      <c r="G55" s="100"/>
      <c r="H55" s="49"/>
      <c r="I55" s="102"/>
      <c r="J55" s="102"/>
      <c r="K55" s="38"/>
    </row>
    <row r="56" spans="1:13" ht="15" x14ac:dyDescent="0.2">
      <c r="A56" s="98"/>
      <c r="B56" s="100"/>
      <c r="C56" s="729"/>
      <c r="D56" s="729"/>
      <c r="E56" s="102"/>
      <c r="G56" s="721" t="s">
        <v>53</v>
      </c>
      <c r="H56" s="721"/>
      <c r="I56" s="104">
        <f>SUM(I58:I62)</f>
        <v>-16844848028.779991</v>
      </c>
      <c r="J56" s="104">
        <f>SUM(J58:J62)</f>
        <v>-36258885688.210007</v>
      </c>
      <c r="K56" s="38"/>
    </row>
    <row r="57" spans="1:13" ht="15" x14ac:dyDescent="0.2">
      <c r="A57" s="98"/>
      <c r="B57" s="100"/>
      <c r="C57" s="729"/>
      <c r="D57" s="729"/>
      <c r="E57" s="102"/>
      <c r="G57" s="48"/>
      <c r="H57" s="49"/>
      <c r="I57" s="109"/>
      <c r="J57" s="109"/>
      <c r="K57" s="38"/>
    </row>
    <row r="58" spans="1:13" x14ac:dyDescent="0.2">
      <c r="A58" s="98"/>
      <c r="B58" s="100"/>
      <c r="C58" s="729"/>
      <c r="D58" s="729"/>
      <c r="E58" s="102"/>
      <c r="G58" s="717" t="s">
        <v>54</v>
      </c>
      <c r="H58" s="717"/>
      <c r="I58" s="51">
        <v>2054978217.0799999</v>
      </c>
      <c r="J58" s="51">
        <v>838009765.71000004</v>
      </c>
      <c r="K58" s="38"/>
      <c r="M58" s="347"/>
    </row>
    <row r="59" spans="1:13" x14ac:dyDescent="0.2">
      <c r="A59" s="98"/>
      <c r="B59" s="100"/>
      <c r="C59" s="729"/>
      <c r="D59" s="729"/>
      <c r="E59" s="102"/>
      <c r="G59" s="717" t="s">
        <v>55</v>
      </c>
      <c r="H59" s="717"/>
      <c r="I59" s="416">
        <v>-36624897411.519997</v>
      </c>
      <c r="J59" s="51">
        <v>-37462907177.230003</v>
      </c>
      <c r="K59" s="38"/>
      <c r="M59" s="347"/>
    </row>
    <row r="60" spans="1:13" x14ac:dyDescent="0.2">
      <c r="A60" s="98"/>
      <c r="B60" s="100"/>
      <c r="C60" s="729"/>
      <c r="D60" s="729"/>
      <c r="E60" s="102"/>
      <c r="G60" s="717" t="s">
        <v>56</v>
      </c>
      <c r="H60" s="717"/>
      <c r="I60" s="51">
        <f>37149682366.37-19318026978.37</f>
        <v>17831655388.000004</v>
      </c>
      <c r="J60" s="51">
        <v>0</v>
      </c>
      <c r="K60" s="38"/>
    </row>
    <row r="61" spans="1:13" x14ac:dyDescent="0.2">
      <c r="A61" s="98"/>
      <c r="B61" s="100"/>
      <c r="C61" s="100"/>
      <c r="D61" s="102"/>
      <c r="E61" s="102"/>
      <c r="G61" s="717" t="s">
        <v>57</v>
      </c>
      <c r="H61" s="717"/>
      <c r="I61" s="51">
        <v>0</v>
      </c>
      <c r="J61" s="51">
        <v>0</v>
      </c>
      <c r="K61" s="38"/>
    </row>
    <row r="62" spans="1:13" x14ac:dyDescent="0.2">
      <c r="A62" s="98"/>
      <c r="B62" s="100"/>
      <c r="C62" s="100"/>
      <c r="D62" s="102"/>
      <c r="E62" s="102"/>
      <c r="G62" s="717" t="s">
        <v>58</v>
      </c>
      <c r="H62" s="717"/>
      <c r="I62" s="51">
        <v>-106584222.34</v>
      </c>
      <c r="J62" s="51">
        <v>366011723.31</v>
      </c>
      <c r="K62" s="38"/>
    </row>
    <row r="63" spans="1:13" x14ac:dyDescent="0.2">
      <c r="A63" s="98"/>
      <c r="B63" s="100"/>
      <c r="C63" s="100"/>
      <c r="D63" s="102"/>
      <c r="E63" s="102"/>
      <c r="G63" s="100"/>
      <c r="H63" s="49"/>
      <c r="I63" s="102"/>
      <c r="J63" s="102"/>
      <c r="K63" s="38"/>
    </row>
    <row r="64" spans="1:13" ht="25.5" customHeight="1" x14ac:dyDescent="0.2">
      <c r="A64" s="98"/>
      <c r="B64" s="100"/>
      <c r="C64" s="100"/>
      <c r="D64" s="102"/>
      <c r="E64" s="102"/>
      <c r="G64" s="721" t="s">
        <v>59</v>
      </c>
      <c r="H64" s="721"/>
      <c r="I64" s="104">
        <f>SUM(I66:I67)</f>
        <v>0</v>
      </c>
      <c r="J64" s="104">
        <f>SUM(J66:J67)</f>
        <v>0</v>
      </c>
      <c r="K64" s="38"/>
    </row>
    <row r="65" spans="1:13" x14ac:dyDescent="0.2">
      <c r="A65" s="98"/>
      <c r="B65" s="100"/>
      <c r="C65" s="100"/>
      <c r="D65" s="102"/>
      <c r="E65" s="102"/>
      <c r="G65" s="100"/>
      <c r="H65" s="49"/>
      <c r="I65" s="102"/>
      <c r="J65" s="102"/>
      <c r="K65" s="38"/>
    </row>
    <row r="66" spans="1:13" x14ac:dyDescent="0.2">
      <c r="A66" s="98"/>
      <c r="B66" s="100"/>
      <c r="C66" s="100"/>
      <c r="D66" s="102"/>
      <c r="E66" s="102"/>
      <c r="G66" s="717" t="s">
        <v>60</v>
      </c>
      <c r="H66" s="717"/>
      <c r="I66" s="51">
        <v>0</v>
      </c>
      <c r="J66" s="51">
        <v>0</v>
      </c>
      <c r="K66" s="38"/>
    </row>
    <row r="67" spans="1:13" x14ac:dyDescent="0.2">
      <c r="A67" s="98"/>
      <c r="B67" s="100"/>
      <c r="C67" s="100"/>
      <c r="D67" s="102"/>
      <c r="E67" s="102"/>
      <c r="G67" s="717" t="s">
        <v>61</v>
      </c>
      <c r="H67" s="717"/>
      <c r="I67" s="51">
        <v>0</v>
      </c>
      <c r="J67" s="51">
        <v>0</v>
      </c>
      <c r="K67" s="38"/>
    </row>
    <row r="68" spans="1:13" ht="9.9499999999999993" customHeight="1" x14ac:dyDescent="0.2">
      <c r="A68" s="98"/>
      <c r="B68" s="100"/>
      <c r="C68" s="100"/>
      <c r="D68" s="102"/>
      <c r="E68" s="102"/>
      <c r="G68" s="100"/>
      <c r="H68" s="110"/>
      <c r="I68" s="102"/>
      <c r="J68" s="102"/>
      <c r="K68" s="38"/>
    </row>
    <row r="69" spans="1:13" ht="15" x14ac:dyDescent="0.2">
      <c r="A69" s="98"/>
      <c r="B69" s="100"/>
      <c r="C69" s="100"/>
      <c r="D69" s="102"/>
      <c r="E69" s="102"/>
      <c r="G69" s="721" t="s">
        <v>62</v>
      </c>
      <c r="H69" s="721"/>
      <c r="I69" s="104">
        <f>I50+I56+I64</f>
        <v>2473178949.5900116</v>
      </c>
      <c r="J69" s="104">
        <f>J50+J56+J64</f>
        <v>-16940858709.840008</v>
      </c>
      <c r="K69" s="38"/>
    </row>
    <row r="70" spans="1:13" ht="9.9499999999999993" customHeight="1" x14ac:dyDescent="0.2">
      <c r="A70" s="98"/>
      <c r="B70" s="100"/>
      <c r="C70" s="100"/>
      <c r="D70" s="102"/>
      <c r="E70" s="102"/>
      <c r="G70" s="100"/>
      <c r="H70" s="49"/>
      <c r="I70" s="102"/>
      <c r="J70" s="102"/>
      <c r="K70" s="38"/>
    </row>
    <row r="71" spans="1:13" ht="15" x14ac:dyDescent="0.2">
      <c r="A71" s="98"/>
      <c r="B71" s="100"/>
      <c r="C71" s="100"/>
      <c r="D71" s="102"/>
      <c r="E71" s="102"/>
      <c r="G71" s="721" t="s">
        <v>192</v>
      </c>
      <c r="H71" s="721"/>
      <c r="I71" s="411">
        <f>I46+I69</f>
        <v>42426837258.250015</v>
      </c>
      <c r="J71" s="104">
        <f>J46+J69</f>
        <v>23756281377.389988</v>
      </c>
      <c r="K71" s="38"/>
      <c r="M71" s="406"/>
    </row>
    <row r="72" spans="1:13" ht="6" customHeight="1" x14ac:dyDescent="0.2">
      <c r="A72" s="111"/>
      <c r="B72" s="112"/>
      <c r="C72" s="112"/>
      <c r="D72" s="112"/>
      <c r="E72" s="112"/>
      <c r="F72" s="113"/>
      <c r="G72" s="112"/>
      <c r="H72" s="112"/>
      <c r="I72" s="112"/>
      <c r="J72" s="112"/>
      <c r="K72" s="64"/>
    </row>
    <row r="73" spans="1:13" ht="6" customHeight="1" x14ac:dyDescent="0.2">
      <c r="B73" s="49"/>
      <c r="C73" s="70"/>
      <c r="D73" s="71"/>
      <c r="E73" s="71"/>
      <c r="G73" s="72"/>
      <c r="H73" s="70"/>
      <c r="I73" s="71"/>
      <c r="J73" s="71"/>
    </row>
    <row r="74" spans="1:13" ht="6" customHeight="1" x14ac:dyDescent="0.2">
      <c r="A74" s="62"/>
      <c r="B74" s="65"/>
      <c r="C74" s="66"/>
      <c r="D74" s="67"/>
      <c r="E74" s="67"/>
      <c r="F74" s="113"/>
      <c r="G74" s="68"/>
      <c r="H74" s="66"/>
      <c r="I74" s="67"/>
      <c r="J74" s="67"/>
    </row>
    <row r="75" spans="1:13" ht="6" customHeight="1" x14ac:dyDescent="0.2">
      <c r="B75" s="49"/>
      <c r="C75" s="70"/>
      <c r="D75" s="71"/>
      <c r="E75" s="71"/>
      <c r="G75" s="72"/>
      <c r="H75" s="70"/>
      <c r="I75" s="71"/>
      <c r="J75" s="71"/>
    </row>
    <row r="76" spans="1:13" ht="15" customHeight="1" x14ac:dyDescent="0.2">
      <c r="B76" s="728" t="s">
        <v>78</v>
      </c>
      <c r="C76" s="728"/>
      <c r="D76" s="728"/>
      <c r="E76" s="728"/>
      <c r="F76" s="728"/>
      <c r="G76" s="728"/>
      <c r="H76" s="728"/>
      <c r="I76" s="728"/>
      <c r="J76" s="728"/>
    </row>
    <row r="77" spans="1:13" ht="9.75" customHeight="1" x14ac:dyDescent="0.2">
      <c r="B77" s="49"/>
      <c r="C77" s="70"/>
      <c r="D77" s="71"/>
      <c r="E77" s="71"/>
      <c r="G77" s="72"/>
      <c r="H77" s="70"/>
      <c r="I77" s="71"/>
      <c r="J77" s="71"/>
    </row>
    <row r="78" spans="1:13" ht="50.1" customHeight="1" x14ac:dyDescent="0.2">
      <c r="B78" s="49"/>
      <c r="C78" s="727"/>
      <c r="D78" s="727"/>
      <c r="E78" s="71"/>
      <c r="G78" s="726"/>
      <c r="H78" s="726"/>
      <c r="I78" s="71"/>
      <c r="J78" s="71"/>
    </row>
    <row r="79" spans="1:13" ht="14.1" customHeight="1" x14ac:dyDescent="0.2">
      <c r="B79" s="74"/>
      <c r="C79" s="725" t="s">
        <v>403</v>
      </c>
      <c r="D79" s="725"/>
      <c r="E79" s="71"/>
      <c r="F79" s="114"/>
      <c r="G79" s="724" t="s">
        <v>474</v>
      </c>
      <c r="H79" s="724"/>
      <c r="I79" s="345"/>
      <c r="J79" s="345"/>
      <c r="K79" s="345"/>
      <c r="L79" s="345"/>
    </row>
    <row r="80" spans="1:13" ht="14.1" customHeight="1" x14ac:dyDescent="0.2">
      <c r="B80" s="76"/>
      <c r="C80" s="723" t="s">
        <v>402</v>
      </c>
      <c r="D80" s="723"/>
      <c r="E80" s="77"/>
      <c r="F80" s="114"/>
      <c r="G80" s="723" t="s">
        <v>475</v>
      </c>
      <c r="H80" s="723"/>
      <c r="I80" s="75"/>
      <c r="J80" s="71"/>
    </row>
  </sheetData>
  <sheetProtection formatCells="0" selectLockedCells="1"/>
  <mergeCells count="75">
    <mergeCell ref="A16:A17"/>
    <mergeCell ref="B16:C17"/>
    <mergeCell ref="F16:F17"/>
    <mergeCell ref="G16:H17"/>
    <mergeCell ref="C13:I13"/>
    <mergeCell ref="G27:H27"/>
    <mergeCell ref="B20:C20"/>
    <mergeCell ref="B22:C22"/>
    <mergeCell ref="G22:H22"/>
    <mergeCell ref="B24:C24"/>
    <mergeCell ref="G24:H24"/>
    <mergeCell ref="G20:H20"/>
    <mergeCell ref="B39:C39"/>
    <mergeCell ref="G39:H39"/>
    <mergeCell ref="G62:H62"/>
    <mergeCell ref="G64:H64"/>
    <mergeCell ref="B43:C43"/>
    <mergeCell ref="B44:C44"/>
    <mergeCell ref="G44:H44"/>
    <mergeCell ref="G52:H52"/>
    <mergeCell ref="B45:C45"/>
    <mergeCell ref="G46:H46"/>
    <mergeCell ref="B47:C47"/>
    <mergeCell ref="G56:H56"/>
    <mergeCell ref="G58:H58"/>
    <mergeCell ref="G59:H59"/>
    <mergeCell ref="G41:H41"/>
    <mergeCell ref="C53:D60"/>
    <mergeCell ref="G66:H66"/>
    <mergeCell ref="G67:H67"/>
    <mergeCell ref="G53:H53"/>
    <mergeCell ref="G54:H54"/>
    <mergeCell ref="C80:D80"/>
    <mergeCell ref="G79:H79"/>
    <mergeCell ref="G80:H80"/>
    <mergeCell ref="G60:H60"/>
    <mergeCell ref="G61:H61"/>
    <mergeCell ref="C79:D79"/>
    <mergeCell ref="G78:H78"/>
    <mergeCell ref="C78:D78"/>
    <mergeCell ref="B76:J76"/>
    <mergeCell ref="G69:H69"/>
    <mergeCell ref="G71:H71"/>
    <mergeCell ref="B32:C32"/>
    <mergeCell ref="G48:H48"/>
    <mergeCell ref="B49:C49"/>
    <mergeCell ref="G50:H50"/>
    <mergeCell ref="B41:C41"/>
    <mergeCell ref="G33:H33"/>
    <mergeCell ref="B35:C35"/>
    <mergeCell ref="B40:C40"/>
    <mergeCell ref="G40:H40"/>
    <mergeCell ref="B38:C38"/>
    <mergeCell ref="G38:H38"/>
    <mergeCell ref="B37:C37"/>
    <mergeCell ref="G37:H37"/>
    <mergeCell ref="B42:C42"/>
    <mergeCell ref="G42:H42"/>
    <mergeCell ref="G35:H35"/>
    <mergeCell ref="G31:H31"/>
    <mergeCell ref="C9:I9"/>
    <mergeCell ref="C10:I10"/>
    <mergeCell ref="C11:I11"/>
    <mergeCell ref="C12:I12"/>
    <mergeCell ref="B28:C28"/>
    <mergeCell ref="G28:H28"/>
    <mergeCell ref="B29:C29"/>
    <mergeCell ref="G29:H29"/>
    <mergeCell ref="B30:C30"/>
    <mergeCell ref="G30:H30"/>
    <mergeCell ref="B25:C25"/>
    <mergeCell ref="G25:H25"/>
    <mergeCell ref="B26:C26"/>
    <mergeCell ref="G26:H26"/>
    <mergeCell ref="B27:C27"/>
  </mergeCells>
  <conditionalFormatting sqref="C53:D60">
    <cfRule type="expression" dxfId="3" priority="1">
      <formula>$E$49&lt;&gt;$J$71</formula>
    </cfRule>
    <cfRule type="expression" dxfId="2" priority="2">
      <formula>$D$49&lt;&gt;$I$71</formula>
    </cfRule>
  </conditionalFormatting>
  <printOptions horizontalCentered="1" verticalCentered="1"/>
  <pageMargins left="0" right="0" top="0.4" bottom="0.32" header="0" footer="0"/>
  <pageSetup scale="5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M40"/>
  <sheetViews>
    <sheetView tabSelected="1" topLeftCell="A31" workbookViewId="0">
      <selection activeCell="E42" sqref="E42"/>
    </sheetView>
  </sheetViews>
  <sheetFormatPr baseColWidth="10" defaultRowHeight="14.25" x14ac:dyDescent="0.2"/>
  <cols>
    <col min="1" max="1" width="17.7109375" style="17" customWidth="1"/>
    <col min="2" max="3" width="3.7109375" style="266" customWidth="1"/>
    <col min="4" max="4" width="53.85546875" style="266" customWidth="1"/>
    <col min="5" max="10" width="21" style="266" customWidth="1"/>
    <col min="11" max="11" width="2" style="17" customWidth="1"/>
    <col min="12" max="12" width="11.42578125" style="266"/>
    <col min="13" max="13" width="15.5703125" style="266" bestFit="1" customWidth="1"/>
    <col min="14" max="16384" width="11.42578125" style="266"/>
  </cols>
  <sheetData>
    <row r="7" spans="1:13" s="17" customFormat="1" x14ac:dyDescent="0.2"/>
    <row r="8" spans="1:13" ht="15" x14ac:dyDescent="0.25">
      <c r="B8" s="835" t="str">
        <f>+'Edo Analitico Ingresos'!B8:J8</f>
        <v>Cuenta Pública 2016</v>
      </c>
      <c r="C8" s="836"/>
      <c r="D8" s="836"/>
      <c r="E8" s="836"/>
      <c r="F8" s="836"/>
      <c r="G8" s="836"/>
      <c r="H8" s="836"/>
      <c r="I8" s="836"/>
      <c r="J8" s="837"/>
    </row>
    <row r="9" spans="1:13" ht="15" x14ac:dyDescent="0.25">
      <c r="B9" s="838" t="s">
        <v>389</v>
      </c>
      <c r="C9" s="839"/>
      <c r="D9" s="839"/>
      <c r="E9" s="839"/>
      <c r="F9" s="839"/>
      <c r="G9" s="839"/>
      <c r="H9" s="839"/>
      <c r="I9" s="839"/>
      <c r="J9" s="840"/>
    </row>
    <row r="10" spans="1:13" ht="15" x14ac:dyDescent="0.25">
      <c r="B10" s="838" t="s">
        <v>666</v>
      </c>
      <c r="C10" s="839"/>
      <c r="D10" s="839"/>
      <c r="E10" s="839"/>
      <c r="F10" s="839"/>
      <c r="G10" s="839"/>
      <c r="H10" s="839"/>
      <c r="I10" s="839"/>
      <c r="J10" s="840"/>
    </row>
    <row r="11" spans="1:13" ht="15" x14ac:dyDescent="0.25">
      <c r="B11" s="841" t="str">
        <f>+'Edo Analitico Ingresos'!B11:J11</f>
        <v>Del 1 de enero al 31 de diciembre de 2016</v>
      </c>
      <c r="C11" s="842"/>
      <c r="D11" s="842"/>
      <c r="E11" s="842"/>
      <c r="F11" s="842"/>
      <c r="G11" s="842"/>
      <c r="H11" s="842"/>
      <c r="I11" s="842"/>
      <c r="J11" s="843"/>
    </row>
    <row r="12" spans="1:13" s="17" customFormat="1" ht="15" x14ac:dyDescent="0.25">
      <c r="A12" s="267"/>
      <c r="B12" s="267"/>
      <c r="C12" s="267"/>
      <c r="D12" s="267"/>
      <c r="F12" s="268"/>
      <c r="G12" s="268"/>
      <c r="H12" s="268"/>
      <c r="I12" s="268"/>
      <c r="J12" s="268"/>
    </row>
    <row r="13" spans="1:13" ht="12" customHeight="1" x14ac:dyDescent="0.25">
      <c r="A13" s="269"/>
      <c r="B13" s="844" t="s">
        <v>205</v>
      </c>
      <c r="C13" s="844"/>
      <c r="D13" s="844"/>
      <c r="E13" s="844" t="s">
        <v>206</v>
      </c>
      <c r="F13" s="844"/>
      <c r="G13" s="844"/>
      <c r="H13" s="844"/>
      <c r="I13" s="844"/>
      <c r="J13" s="845" t="s">
        <v>207</v>
      </c>
    </row>
    <row r="14" spans="1:13" ht="30" x14ac:dyDescent="0.25">
      <c r="A14" s="267"/>
      <c r="B14" s="844"/>
      <c r="C14" s="844"/>
      <c r="D14" s="844"/>
      <c r="E14" s="488" t="s">
        <v>208</v>
      </c>
      <c r="F14" s="271" t="s">
        <v>209</v>
      </c>
      <c r="G14" s="488" t="s">
        <v>210</v>
      </c>
      <c r="H14" s="488" t="s">
        <v>211</v>
      </c>
      <c r="I14" s="488" t="s">
        <v>212</v>
      </c>
      <c r="J14" s="845"/>
    </row>
    <row r="15" spans="1:13" ht="12" customHeight="1" x14ac:dyDescent="0.25">
      <c r="A15" s="267"/>
      <c r="B15" s="844"/>
      <c r="C15" s="844"/>
      <c r="D15" s="844"/>
      <c r="E15" s="488" t="s">
        <v>213</v>
      </c>
      <c r="F15" s="488" t="s">
        <v>214</v>
      </c>
      <c r="G15" s="488" t="s">
        <v>215</v>
      </c>
      <c r="H15" s="488" t="s">
        <v>216</v>
      </c>
      <c r="I15" s="488" t="s">
        <v>217</v>
      </c>
      <c r="J15" s="488" t="s">
        <v>230</v>
      </c>
    </row>
    <row r="16" spans="1:13" s="17" customFormat="1" x14ac:dyDescent="0.2">
      <c r="A16" s="272"/>
      <c r="B16" s="273"/>
      <c r="C16" s="274"/>
      <c r="D16" s="275"/>
      <c r="E16" s="276"/>
      <c r="F16" s="189"/>
      <c r="G16" s="352"/>
      <c r="H16" s="189"/>
      <c r="I16" s="352"/>
      <c r="J16" s="352"/>
      <c r="L16" s="266"/>
      <c r="M16" s="266"/>
    </row>
    <row r="17" spans="1:13" s="17" customFormat="1" ht="15" x14ac:dyDescent="0.25">
      <c r="A17" s="272"/>
      <c r="B17" s="493" t="s">
        <v>667</v>
      </c>
      <c r="C17" s="491"/>
      <c r="D17" s="492"/>
      <c r="E17" s="496">
        <f>SUM(E18:E26)</f>
        <v>43763068350</v>
      </c>
      <c r="F17" s="496">
        <f t="shared" ref="F17:J17" si="0">SUM(F18:F26)</f>
        <v>2588841322.592895</v>
      </c>
      <c r="G17" s="496">
        <f t="shared" si="0"/>
        <v>46351909672.592896</v>
      </c>
      <c r="H17" s="496">
        <f t="shared" si="0"/>
        <v>46351909672.590004</v>
      </c>
      <c r="I17" s="496">
        <f t="shared" si="0"/>
        <v>46351909672.590004</v>
      </c>
      <c r="J17" s="521">
        <f t="shared" si="0"/>
        <v>2588841322.5900064</v>
      </c>
      <c r="L17" s="266"/>
      <c r="M17" s="266"/>
    </row>
    <row r="18" spans="1:13" ht="14.25" customHeight="1" x14ac:dyDescent="0.2">
      <c r="A18" s="272"/>
      <c r="B18" s="494"/>
      <c r="C18" s="478" t="s">
        <v>84</v>
      </c>
      <c r="D18" s="289"/>
      <c r="E18" s="354">
        <f>+'Edo Analitico Ingresos'!E17</f>
        <v>3958961000</v>
      </c>
      <c r="F18" s="354">
        <f>+'Edo Analitico Ingresos'!F17</f>
        <v>563310471</v>
      </c>
      <c r="G18" s="354">
        <f>+E18+F18</f>
        <v>4522271471</v>
      </c>
      <c r="H18" s="354">
        <f>+'Edo Analitico Ingresos'!H17</f>
        <v>4522271471</v>
      </c>
      <c r="I18" s="354">
        <f>+H18</f>
        <v>4522271471</v>
      </c>
      <c r="J18" s="354">
        <f>+I18-E18</f>
        <v>563310471</v>
      </c>
      <c r="M18" s="363"/>
    </row>
    <row r="19" spans="1:13" ht="14.25" customHeight="1" x14ac:dyDescent="0.2">
      <c r="A19" s="272"/>
      <c r="B19" s="494"/>
      <c r="C19" s="478" t="s">
        <v>668</v>
      </c>
      <c r="D19" s="289"/>
      <c r="E19" s="354">
        <f>+'Edo Analitico Ingresos'!E18</f>
        <v>0</v>
      </c>
      <c r="F19" s="354">
        <f>+'Edo Analitico Ingresos'!F18</f>
        <v>0</v>
      </c>
      <c r="G19" s="354">
        <f t="shared" ref="G19:G26" si="1">+E19+F19</f>
        <v>0</v>
      </c>
      <c r="H19" s="354">
        <f>+'Edo Analitico Ingresos'!H18</f>
        <v>0</v>
      </c>
      <c r="I19" s="354">
        <f t="shared" ref="I19:I26" si="2">+H19</f>
        <v>0</v>
      </c>
      <c r="J19" s="354">
        <f t="shared" ref="J19:J33" si="3">+I19-E19</f>
        <v>0</v>
      </c>
      <c r="M19" s="363"/>
    </row>
    <row r="20" spans="1:13" ht="14.25" customHeight="1" x14ac:dyDescent="0.2">
      <c r="A20" s="272"/>
      <c r="B20" s="494"/>
      <c r="C20" s="478" t="s">
        <v>88</v>
      </c>
      <c r="D20" s="289"/>
      <c r="E20" s="354">
        <f>+'Edo Analitico Ingresos'!E19</f>
        <v>382634000</v>
      </c>
      <c r="F20" s="354">
        <f>+'Edo Analitico Ingresos'!F19</f>
        <v>145812508.38999999</v>
      </c>
      <c r="G20" s="354">
        <f t="shared" si="1"/>
        <v>528446508.38999999</v>
      </c>
      <c r="H20" s="354">
        <f>+'Edo Analitico Ingresos'!H19</f>
        <v>528446508.38999999</v>
      </c>
      <c r="I20" s="354">
        <f t="shared" si="2"/>
        <v>528446508.38999999</v>
      </c>
      <c r="J20" s="354">
        <f t="shared" si="3"/>
        <v>145812508.38999999</v>
      </c>
      <c r="M20" s="363"/>
    </row>
    <row r="21" spans="1:13" ht="14.25" customHeight="1" x14ac:dyDescent="0.2">
      <c r="A21" s="272"/>
      <c r="B21" s="494"/>
      <c r="C21" s="478" t="s">
        <v>679</v>
      </c>
      <c r="D21" s="289"/>
      <c r="E21" s="354">
        <f>+'Edo Analitico Ingresos'!E20+'Edo Analitico Ingresos'!E21+'Edo Analitico Ingresos'!E24</f>
        <v>2510552000</v>
      </c>
      <c r="F21" s="354">
        <f>+'Edo Analitico Ingresos'!F20+'Edo Analitico Ingresos'!F21+'Edo Analitico Ingresos'!F24</f>
        <v>704572946.99072552</v>
      </c>
      <c r="G21" s="354">
        <f t="shared" si="1"/>
        <v>3215124946.9907255</v>
      </c>
      <c r="H21" s="354">
        <f>+'Edo Analitico Ingresos'!H20+'Edo Analitico Ingresos'!H21+'Edo Analitico Ingresos'!H24</f>
        <v>3215124946.9899998</v>
      </c>
      <c r="I21" s="354">
        <f t="shared" si="2"/>
        <v>3215124946.9899998</v>
      </c>
      <c r="J21" s="354">
        <f t="shared" si="3"/>
        <v>704572946.98999977</v>
      </c>
      <c r="M21" s="363"/>
    </row>
    <row r="22" spans="1:13" ht="14.25" customHeight="1" x14ac:dyDescent="0.2">
      <c r="A22" s="272"/>
      <c r="B22" s="494"/>
      <c r="C22" s="478" t="s">
        <v>680</v>
      </c>
      <c r="D22" s="289"/>
      <c r="E22" s="354">
        <v>0</v>
      </c>
      <c r="F22" s="354">
        <v>0</v>
      </c>
      <c r="G22" s="354">
        <f t="shared" si="1"/>
        <v>0</v>
      </c>
      <c r="H22" s="354">
        <v>0</v>
      </c>
      <c r="I22" s="354">
        <v>0</v>
      </c>
      <c r="J22" s="354">
        <v>0</v>
      </c>
      <c r="M22" s="363"/>
    </row>
    <row r="23" spans="1:13" ht="14.25" customHeight="1" x14ac:dyDescent="0.2">
      <c r="A23" s="272"/>
      <c r="B23" s="494"/>
      <c r="C23" s="478" t="s">
        <v>669</v>
      </c>
      <c r="D23" s="289"/>
      <c r="E23" s="354">
        <f>+'Edo Analitico Ingresos'!E27</f>
        <v>0</v>
      </c>
      <c r="F23" s="354">
        <f>+'Edo Analitico Ingresos'!F27</f>
        <v>0</v>
      </c>
      <c r="G23" s="354">
        <f t="shared" si="1"/>
        <v>0</v>
      </c>
      <c r="H23" s="354">
        <f>+'Edo Analitico Ingresos'!H27</f>
        <v>0</v>
      </c>
      <c r="I23" s="354">
        <f t="shared" si="2"/>
        <v>0</v>
      </c>
      <c r="J23" s="354">
        <f t="shared" si="3"/>
        <v>0</v>
      </c>
      <c r="M23" s="363"/>
    </row>
    <row r="24" spans="1:13" ht="14.25" customHeight="1" x14ac:dyDescent="0.2">
      <c r="A24" s="272"/>
      <c r="B24" s="277"/>
      <c r="C24" s="478" t="s">
        <v>670</v>
      </c>
      <c r="D24" s="289"/>
      <c r="E24" s="354">
        <f>+'Edo Analitico Ingresos'!E27</f>
        <v>0</v>
      </c>
      <c r="F24" s="354">
        <f>+'Edo Analitico Ingresos'!F27</f>
        <v>0</v>
      </c>
      <c r="G24" s="354">
        <f t="shared" si="1"/>
        <v>0</v>
      </c>
      <c r="H24" s="354">
        <f>+'Edo Analitico Ingresos'!H27</f>
        <v>0</v>
      </c>
      <c r="I24" s="354">
        <f t="shared" si="2"/>
        <v>0</v>
      </c>
      <c r="J24" s="354">
        <f>+I24-E24</f>
        <v>0</v>
      </c>
      <c r="M24" s="363"/>
    </row>
    <row r="25" spans="1:13" ht="14.25" customHeight="1" x14ac:dyDescent="0.2">
      <c r="A25" s="272"/>
      <c r="B25" s="277"/>
      <c r="C25" s="478" t="s">
        <v>671</v>
      </c>
      <c r="D25" s="289"/>
      <c r="E25" s="354">
        <f>+'Edo Analitico Ingresos'!E29</f>
        <v>290753000</v>
      </c>
      <c r="F25" s="354">
        <f>+'Edo Analitico Ingresos'!F29</f>
        <v>11440155</v>
      </c>
      <c r="G25" s="354">
        <f t="shared" si="1"/>
        <v>302193155</v>
      </c>
      <c r="H25" s="354">
        <f>+'Edo Analitico Ingresos'!H29</f>
        <v>302193155</v>
      </c>
      <c r="I25" s="354">
        <f t="shared" si="2"/>
        <v>302193155</v>
      </c>
      <c r="J25" s="354">
        <f t="shared" si="3"/>
        <v>11440155</v>
      </c>
      <c r="M25" s="363"/>
    </row>
    <row r="26" spans="1:13" ht="14.25" customHeight="1" x14ac:dyDescent="0.2">
      <c r="A26" s="272"/>
      <c r="B26" s="494"/>
      <c r="C26" s="478" t="s">
        <v>110</v>
      </c>
      <c r="D26" s="289"/>
      <c r="E26" s="354">
        <f>+'Edo Analitico Ingresos'!E28</f>
        <v>36620168350</v>
      </c>
      <c r="F26" s="354">
        <f>+'Edo Analitico Ingresos'!F28</f>
        <v>1163705241.2121696</v>
      </c>
      <c r="G26" s="354">
        <f t="shared" si="1"/>
        <v>37783873591.212173</v>
      </c>
      <c r="H26" s="354">
        <f>+'Edo Analitico Ingresos'!H28</f>
        <v>37783873591.210007</v>
      </c>
      <c r="I26" s="354">
        <f t="shared" si="2"/>
        <v>37783873591.210007</v>
      </c>
      <c r="J26" s="354">
        <f t="shared" si="3"/>
        <v>1163705241.2100067</v>
      </c>
      <c r="M26" s="363"/>
    </row>
    <row r="27" spans="1:13" x14ac:dyDescent="0.2">
      <c r="A27" s="272"/>
      <c r="B27" s="277"/>
      <c r="C27" s="830"/>
      <c r="D27" s="831"/>
      <c r="E27" s="354"/>
      <c r="F27" s="358"/>
      <c r="G27" s="354"/>
      <c r="H27" s="358"/>
      <c r="I27" s="354"/>
      <c r="J27" s="354"/>
      <c r="M27" s="363"/>
    </row>
    <row r="28" spans="1:13" ht="15" x14ac:dyDescent="0.25">
      <c r="A28" s="272"/>
      <c r="B28" s="495" t="s">
        <v>672</v>
      </c>
      <c r="C28" s="307"/>
      <c r="D28" s="289"/>
      <c r="E28" s="496">
        <f>SUM(E29:E33)</f>
        <v>0</v>
      </c>
      <c r="F28" s="496">
        <f t="shared" ref="F28:J28" si="4">SUM(F29:F33)</f>
        <v>0</v>
      </c>
      <c r="G28" s="496">
        <f t="shared" si="4"/>
        <v>0</v>
      </c>
      <c r="H28" s="496">
        <f t="shared" si="4"/>
        <v>0</v>
      </c>
      <c r="I28" s="496">
        <f t="shared" si="4"/>
        <v>0</v>
      </c>
      <c r="J28" s="521">
        <f t="shared" si="4"/>
        <v>0</v>
      </c>
      <c r="M28" s="363"/>
    </row>
    <row r="29" spans="1:13" ht="14.25" customHeight="1" x14ac:dyDescent="0.2">
      <c r="A29" s="272"/>
      <c r="B29" s="494"/>
      <c r="C29" s="478" t="s">
        <v>673</v>
      </c>
      <c r="D29" s="289"/>
      <c r="E29" s="354">
        <v>0</v>
      </c>
      <c r="F29" s="358">
        <v>0</v>
      </c>
      <c r="G29" s="354">
        <f t="shared" ref="G29:G33" si="5">+E29+F29</f>
        <v>0</v>
      </c>
      <c r="H29" s="358">
        <v>0</v>
      </c>
      <c r="I29" s="354">
        <v>0</v>
      </c>
      <c r="J29" s="354">
        <f t="shared" si="3"/>
        <v>0</v>
      </c>
      <c r="M29" s="363"/>
    </row>
    <row r="30" spans="1:13" ht="14.25" customHeight="1" x14ac:dyDescent="0.2">
      <c r="A30" s="272"/>
      <c r="B30" s="494"/>
      <c r="C30" s="478" t="s">
        <v>674</v>
      </c>
      <c r="D30" s="289"/>
      <c r="E30" s="354">
        <v>0</v>
      </c>
      <c r="F30" s="358">
        <v>0</v>
      </c>
      <c r="G30" s="354">
        <f t="shared" si="5"/>
        <v>0</v>
      </c>
      <c r="H30" s="358">
        <v>0</v>
      </c>
      <c r="I30" s="354"/>
      <c r="J30" s="354"/>
      <c r="M30" s="363"/>
    </row>
    <row r="31" spans="1:13" s="532" customFormat="1" ht="33" customHeight="1" x14ac:dyDescent="0.25">
      <c r="A31" s="528"/>
      <c r="B31" s="494"/>
      <c r="C31" s="830" t="s">
        <v>675</v>
      </c>
      <c r="D31" s="831"/>
      <c r="E31" s="529">
        <v>0</v>
      </c>
      <c r="F31" s="530">
        <v>0</v>
      </c>
      <c r="G31" s="529">
        <f t="shared" si="5"/>
        <v>0</v>
      </c>
      <c r="H31" s="531">
        <v>0</v>
      </c>
      <c r="I31" s="529">
        <f>+H31</f>
        <v>0</v>
      </c>
      <c r="J31" s="529">
        <f>+I31-E31</f>
        <v>0</v>
      </c>
      <c r="K31" s="161"/>
      <c r="M31" s="533"/>
    </row>
    <row r="32" spans="1:13" ht="15" customHeight="1" x14ac:dyDescent="0.25">
      <c r="A32" s="278"/>
      <c r="B32" s="494"/>
      <c r="C32" s="830" t="s">
        <v>676</v>
      </c>
      <c r="D32" s="832"/>
      <c r="E32" s="354">
        <v>0</v>
      </c>
      <c r="F32" s="358">
        <v>0</v>
      </c>
      <c r="G32" s="354">
        <f t="shared" si="5"/>
        <v>0</v>
      </c>
      <c r="H32" s="358">
        <v>0</v>
      </c>
      <c r="I32" s="354">
        <f>+H32</f>
        <v>0</v>
      </c>
      <c r="J32" s="354">
        <f t="shared" si="3"/>
        <v>0</v>
      </c>
      <c r="M32" s="363"/>
    </row>
    <row r="33" spans="1:13" s="526" customFormat="1" ht="28.5" customHeight="1" x14ac:dyDescent="0.2">
      <c r="A33" s="522"/>
      <c r="B33" s="523"/>
      <c r="C33" s="833" t="s">
        <v>677</v>
      </c>
      <c r="D33" s="834"/>
      <c r="E33" s="524">
        <v>0</v>
      </c>
      <c r="F33" s="525">
        <v>0</v>
      </c>
      <c r="G33" s="524">
        <f t="shared" si="5"/>
        <v>0</v>
      </c>
      <c r="H33" s="525">
        <v>0</v>
      </c>
      <c r="I33" s="524">
        <v>0</v>
      </c>
      <c r="J33" s="524">
        <f t="shared" si="3"/>
        <v>0</v>
      </c>
      <c r="K33" s="18"/>
      <c r="M33" s="527"/>
    </row>
    <row r="34" spans="1:13" x14ac:dyDescent="0.2">
      <c r="A34" s="272"/>
      <c r="B34" s="279"/>
      <c r="C34" s="280"/>
      <c r="D34" s="281"/>
      <c r="E34" s="282"/>
      <c r="F34" s="351"/>
      <c r="G34" s="282"/>
      <c r="H34" s="351"/>
      <c r="I34" s="282"/>
      <c r="J34" s="282"/>
      <c r="M34" s="363"/>
    </row>
    <row r="35" spans="1:13" ht="24.75" customHeight="1" x14ac:dyDescent="0.25">
      <c r="A35" s="267"/>
      <c r="B35" s="283"/>
      <c r="C35" s="284"/>
      <c r="D35" s="497" t="s">
        <v>678</v>
      </c>
      <c r="E35" s="498">
        <f>+E17+E28</f>
        <v>43763068350</v>
      </c>
      <c r="F35" s="498">
        <f t="shared" ref="F35:J35" si="6">+F17+F28</f>
        <v>2588841322.592895</v>
      </c>
      <c r="G35" s="498">
        <f t="shared" si="6"/>
        <v>46351909672.592896</v>
      </c>
      <c r="H35" s="498">
        <f t="shared" si="6"/>
        <v>46351909672.590004</v>
      </c>
      <c r="I35" s="498">
        <f t="shared" si="6"/>
        <v>46351909672.590004</v>
      </c>
      <c r="J35" s="498">
        <f t="shared" si="6"/>
        <v>2588841322.5900064</v>
      </c>
      <c r="M35" s="363"/>
    </row>
    <row r="36" spans="1:13" s="17" customFormat="1" ht="12" customHeight="1" x14ac:dyDescent="0.25">
      <c r="A36" s="267"/>
      <c r="B36" s="267"/>
      <c r="C36" s="267"/>
      <c r="D36" s="267"/>
      <c r="E36" s="268"/>
      <c r="F36" s="268"/>
      <c r="G36" s="410"/>
      <c r="H36" s="268"/>
      <c r="I36" s="268"/>
      <c r="J36" s="268"/>
      <c r="L36" s="266"/>
      <c r="M36" s="266"/>
    </row>
    <row r="38" spans="1:13" s="17" customFormat="1" x14ac:dyDescent="0.2">
      <c r="B38" s="266"/>
      <c r="C38" s="266"/>
      <c r="D38" s="266"/>
      <c r="E38" s="363"/>
      <c r="F38" s="363"/>
      <c r="G38" s="363"/>
      <c r="H38" s="363"/>
      <c r="I38" s="363"/>
      <c r="J38" s="363"/>
      <c r="L38" s="266"/>
      <c r="M38" s="266"/>
    </row>
    <row r="39" spans="1:13" s="17" customFormat="1" x14ac:dyDescent="0.2">
      <c r="B39" s="266"/>
      <c r="C39" s="266"/>
      <c r="D39" s="266"/>
      <c r="E39" s="266"/>
      <c r="F39" s="266"/>
      <c r="G39" s="266"/>
      <c r="H39" s="429"/>
      <c r="I39" s="266"/>
      <c r="J39" s="266"/>
      <c r="L39" s="266"/>
      <c r="M39" s="266"/>
    </row>
    <row r="40" spans="1:13" x14ac:dyDescent="0.2">
      <c r="E40" s="363"/>
      <c r="F40" s="363"/>
      <c r="G40" s="363"/>
      <c r="H40" s="363"/>
      <c r="I40" s="363"/>
      <c r="J40" s="363"/>
    </row>
  </sheetData>
  <mergeCells count="11">
    <mergeCell ref="C31:D31"/>
    <mergeCell ref="C32:D32"/>
    <mergeCell ref="C33:D33"/>
    <mergeCell ref="C27:D27"/>
    <mergeCell ref="B8:J8"/>
    <mergeCell ref="B9:J9"/>
    <mergeCell ref="B10:J10"/>
    <mergeCell ref="B11:J11"/>
    <mergeCell ref="B13:D15"/>
    <mergeCell ref="E13:I13"/>
    <mergeCell ref="J13:J14"/>
  </mergeCells>
  <pageMargins left="0.36" right="0.7" top="0.75" bottom="0.75" header="0.3" footer="0.3"/>
  <pageSetup scale="66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M69"/>
  <sheetViews>
    <sheetView topLeftCell="B46" workbookViewId="0">
      <selection activeCell="G50" sqref="G50"/>
    </sheetView>
  </sheetViews>
  <sheetFormatPr baseColWidth="10" defaultRowHeight="14.25" x14ac:dyDescent="0.2"/>
  <cols>
    <col min="1" max="1" width="17.7109375" style="17" customWidth="1"/>
    <col min="2" max="3" width="3.7109375" style="266" customWidth="1"/>
    <col min="4" max="4" width="58.5703125" style="266" customWidth="1"/>
    <col min="5" max="6" width="23.28515625" style="266" customWidth="1"/>
    <col min="7" max="7" width="23.5703125" style="266" customWidth="1"/>
    <col min="8" max="8" width="23.28515625" style="266" customWidth="1"/>
    <col min="9" max="10" width="22.28515625" style="266" customWidth="1"/>
    <col min="11" max="11" width="2" style="17" customWidth="1"/>
    <col min="12" max="12" width="11.42578125" style="266"/>
    <col min="13" max="13" width="15.5703125" style="266" bestFit="1" customWidth="1"/>
    <col min="14" max="16384" width="11.42578125" style="266"/>
  </cols>
  <sheetData>
    <row r="7" spans="1:10" s="17" customFormat="1" x14ac:dyDescent="0.2"/>
    <row r="8" spans="1:10" ht="15" x14ac:dyDescent="0.25">
      <c r="B8" s="835" t="s">
        <v>795</v>
      </c>
      <c r="C8" s="836"/>
      <c r="D8" s="836"/>
      <c r="E8" s="836"/>
      <c r="F8" s="836"/>
      <c r="G8" s="836"/>
      <c r="H8" s="836"/>
      <c r="I8" s="836"/>
      <c r="J8" s="837"/>
    </row>
    <row r="9" spans="1:10" ht="15" x14ac:dyDescent="0.25">
      <c r="B9" s="838" t="s">
        <v>389</v>
      </c>
      <c r="C9" s="839"/>
      <c r="D9" s="839"/>
      <c r="E9" s="839"/>
      <c r="F9" s="839"/>
      <c r="G9" s="839"/>
      <c r="H9" s="839"/>
      <c r="I9" s="839"/>
      <c r="J9" s="840"/>
    </row>
    <row r="10" spans="1:10" ht="15" x14ac:dyDescent="0.25">
      <c r="B10" s="838" t="s">
        <v>204</v>
      </c>
      <c r="C10" s="839"/>
      <c r="D10" s="839"/>
      <c r="E10" s="839"/>
      <c r="F10" s="839"/>
      <c r="G10" s="839"/>
      <c r="H10" s="839"/>
      <c r="I10" s="839"/>
      <c r="J10" s="840"/>
    </row>
    <row r="11" spans="1:10" ht="15" x14ac:dyDescent="0.25">
      <c r="B11" s="841" t="s">
        <v>793</v>
      </c>
      <c r="C11" s="842"/>
      <c r="D11" s="842"/>
      <c r="E11" s="842"/>
      <c r="F11" s="842"/>
      <c r="G11" s="842"/>
      <c r="H11" s="842"/>
      <c r="I11" s="842"/>
      <c r="J11" s="843"/>
    </row>
    <row r="12" spans="1:10" s="17" customFormat="1" ht="15" x14ac:dyDescent="0.25">
      <c r="A12" s="267"/>
      <c r="B12" s="267"/>
      <c r="C12" s="267"/>
      <c r="D12" s="267"/>
      <c r="F12" s="268"/>
      <c r="G12" s="268"/>
      <c r="H12" s="268"/>
      <c r="I12" s="268"/>
      <c r="J12" s="268"/>
    </row>
    <row r="13" spans="1:10" ht="12" customHeight="1" x14ac:dyDescent="0.25">
      <c r="A13" s="269"/>
      <c r="B13" s="844" t="s">
        <v>205</v>
      </c>
      <c r="C13" s="844"/>
      <c r="D13" s="844"/>
      <c r="E13" s="844" t="s">
        <v>206</v>
      </c>
      <c r="F13" s="844"/>
      <c r="G13" s="844"/>
      <c r="H13" s="844"/>
      <c r="I13" s="844"/>
      <c r="J13" s="845" t="s">
        <v>207</v>
      </c>
    </row>
    <row r="14" spans="1:10" ht="30" x14ac:dyDescent="0.25">
      <c r="A14" s="267"/>
      <c r="B14" s="844"/>
      <c r="C14" s="844"/>
      <c r="D14" s="844"/>
      <c r="E14" s="270" t="s">
        <v>208</v>
      </c>
      <c r="F14" s="271" t="s">
        <v>209</v>
      </c>
      <c r="G14" s="270" t="s">
        <v>210</v>
      </c>
      <c r="H14" s="270" t="s">
        <v>211</v>
      </c>
      <c r="I14" s="270" t="s">
        <v>212</v>
      </c>
      <c r="J14" s="845"/>
    </row>
    <row r="15" spans="1:10" ht="12" customHeight="1" x14ac:dyDescent="0.25">
      <c r="A15" s="267"/>
      <c r="B15" s="844"/>
      <c r="C15" s="844"/>
      <c r="D15" s="844"/>
      <c r="E15" s="270" t="s">
        <v>213</v>
      </c>
      <c r="F15" s="270" t="s">
        <v>214</v>
      </c>
      <c r="G15" s="270" t="s">
        <v>215</v>
      </c>
      <c r="H15" s="270" t="s">
        <v>216</v>
      </c>
      <c r="I15" s="270" t="s">
        <v>217</v>
      </c>
      <c r="J15" s="270" t="s">
        <v>230</v>
      </c>
    </row>
    <row r="16" spans="1:10" x14ac:dyDescent="0.2">
      <c r="A16" s="272"/>
      <c r="B16" s="273"/>
      <c r="C16" s="274"/>
      <c r="D16" s="275"/>
      <c r="E16" s="276"/>
      <c r="F16" s="189"/>
      <c r="G16" s="352"/>
      <c r="H16" s="189"/>
      <c r="I16" s="352"/>
      <c r="J16" s="352"/>
    </row>
    <row r="17" spans="1:13" x14ac:dyDescent="0.2">
      <c r="A17" s="272"/>
      <c r="B17" s="851" t="s">
        <v>84</v>
      </c>
      <c r="C17" s="830"/>
      <c r="D17" s="831"/>
      <c r="E17" s="354">
        <v>3958961000</v>
      </c>
      <c r="F17" s="358">
        <f>+'Anexo Analitico de Ingresos'!F17+'Anexo Analitico de Ingresos'!F52</f>
        <v>563310471</v>
      </c>
      <c r="G17" s="354">
        <f>+E17+F17</f>
        <v>4522271471</v>
      </c>
      <c r="H17" s="358">
        <f>+'Anexo Analitico de Ingresos'!H17+'Anexo Analitico de Ingresos'!H52</f>
        <v>4522271471</v>
      </c>
      <c r="I17" s="354">
        <f>+H17</f>
        <v>4522271471</v>
      </c>
      <c r="J17" s="354">
        <f>+I17-E17</f>
        <v>563310471</v>
      </c>
      <c r="M17" s="363"/>
    </row>
    <row r="18" spans="1:13" x14ac:dyDescent="0.2">
      <c r="A18" s="272"/>
      <c r="B18" s="851" t="s">
        <v>196</v>
      </c>
      <c r="C18" s="830"/>
      <c r="D18" s="831"/>
      <c r="E18" s="354">
        <v>0</v>
      </c>
      <c r="F18" s="358">
        <v>0</v>
      </c>
      <c r="G18" s="354">
        <f t="shared" ref="G18:G29" si="0">+E18+F18</f>
        <v>0</v>
      </c>
      <c r="H18" s="358">
        <v>0</v>
      </c>
      <c r="I18" s="354">
        <v>0</v>
      </c>
      <c r="J18" s="354">
        <f t="shared" ref="J18:J30" si="1">+I18-E18</f>
        <v>0</v>
      </c>
      <c r="M18" s="363"/>
    </row>
    <row r="19" spans="1:13" x14ac:dyDescent="0.2">
      <c r="A19" s="272"/>
      <c r="B19" s="851" t="s">
        <v>88</v>
      </c>
      <c r="C19" s="830"/>
      <c r="D19" s="831"/>
      <c r="E19" s="354">
        <v>382634000</v>
      </c>
      <c r="F19" s="358">
        <f>+'Anexo Analitico de Ingresos'!F27</f>
        <v>145812508.38999999</v>
      </c>
      <c r="G19" s="354">
        <f t="shared" si="0"/>
        <v>528446508.38999999</v>
      </c>
      <c r="H19" s="358">
        <f>+'Anexo Analitico de Ingresos'!H27</f>
        <v>528446508.38999999</v>
      </c>
      <c r="I19" s="354">
        <f>+H19</f>
        <v>528446508.38999999</v>
      </c>
      <c r="J19" s="354">
        <f t="shared" si="1"/>
        <v>145812508.38999999</v>
      </c>
      <c r="M19" s="363"/>
    </row>
    <row r="20" spans="1:13" x14ac:dyDescent="0.2">
      <c r="A20" s="272"/>
      <c r="B20" s="851" t="s">
        <v>90</v>
      </c>
      <c r="C20" s="830"/>
      <c r="D20" s="831"/>
      <c r="E20" s="354">
        <v>2144856000</v>
      </c>
      <c r="F20" s="358">
        <f>+'Anexo Analitico de Ingresos'!F33+'Anexo Analitico de Ingresos'!F63</f>
        <v>597730271.82000005</v>
      </c>
      <c r="G20" s="354">
        <f t="shared" si="0"/>
        <v>2742586271.8200002</v>
      </c>
      <c r="H20" s="358">
        <f>+'Anexo Analitico de Ingresos'!H33+'Anexo Analitico de Ingresos'!H63</f>
        <v>2742586271.8199997</v>
      </c>
      <c r="I20" s="354">
        <f>+H20</f>
        <v>2742586271.8199997</v>
      </c>
      <c r="J20" s="354">
        <f t="shared" si="1"/>
        <v>597730271.81999969</v>
      </c>
      <c r="M20" s="363"/>
    </row>
    <row r="21" spans="1:13" x14ac:dyDescent="0.2">
      <c r="A21" s="272"/>
      <c r="B21" s="851" t="s">
        <v>218</v>
      </c>
      <c r="C21" s="830"/>
      <c r="D21" s="831"/>
      <c r="E21" s="354">
        <f>+E22+E23</f>
        <v>54805000</v>
      </c>
      <c r="F21" s="354">
        <f>+F22+F23</f>
        <v>480981.88000000268</v>
      </c>
      <c r="G21" s="354">
        <f>+G22+G23</f>
        <v>55285981.880000003</v>
      </c>
      <c r="H21" s="354">
        <f>+H22+H23</f>
        <v>55285981.880000003</v>
      </c>
      <c r="I21" s="354">
        <f>+I22+I23</f>
        <v>55285981.880000003</v>
      </c>
      <c r="J21" s="354">
        <f t="shared" si="1"/>
        <v>480981.88000000268</v>
      </c>
      <c r="M21" s="363"/>
    </row>
    <row r="22" spans="1:13" x14ac:dyDescent="0.2">
      <c r="A22" s="272"/>
      <c r="B22" s="277"/>
      <c r="C22" s="830" t="s">
        <v>219</v>
      </c>
      <c r="D22" s="831"/>
      <c r="E22" s="354">
        <v>54805000</v>
      </c>
      <c r="F22" s="358">
        <f>+'Anexo Analitico de Ingresos'!F42</f>
        <v>480981.88000000268</v>
      </c>
      <c r="G22" s="354">
        <f>+E22+F22</f>
        <v>55285981.880000003</v>
      </c>
      <c r="H22" s="358">
        <f>+'Anexo Analitico de Ingresos'!H41</f>
        <v>55285981.880000003</v>
      </c>
      <c r="I22" s="354">
        <f>+H22</f>
        <v>55285981.880000003</v>
      </c>
      <c r="J22" s="354">
        <f>+I22-E22</f>
        <v>480981.88000000268</v>
      </c>
      <c r="M22" s="363"/>
    </row>
    <row r="23" spans="1:13" x14ac:dyDescent="0.2">
      <c r="A23" s="272"/>
      <c r="B23" s="277"/>
      <c r="C23" s="830" t="s">
        <v>220</v>
      </c>
      <c r="D23" s="831"/>
      <c r="E23" s="354">
        <v>0</v>
      </c>
      <c r="F23" s="358">
        <f>+'Anexo Analitico de Ingresos'!F45</f>
        <v>0</v>
      </c>
      <c r="G23" s="354">
        <f t="shared" si="0"/>
        <v>0</v>
      </c>
      <c r="H23" s="358">
        <v>0</v>
      </c>
      <c r="I23" s="354">
        <v>0</v>
      </c>
      <c r="J23" s="354">
        <f t="shared" si="1"/>
        <v>0</v>
      </c>
      <c r="M23" s="363"/>
    </row>
    <row r="24" spans="1:13" x14ac:dyDescent="0.2">
      <c r="A24" s="272"/>
      <c r="B24" s="851" t="s">
        <v>221</v>
      </c>
      <c r="C24" s="830"/>
      <c r="D24" s="831"/>
      <c r="E24" s="354">
        <f>+E25+E26</f>
        <v>310891000</v>
      </c>
      <c r="F24" s="354">
        <f>+F25+F26</f>
        <v>106361693.29072547</v>
      </c>
      <c r="G24" s="354">
        <f t="shared" si="0"/>
        <v>417252693.29072547</v>
      </c>
      <c r="H24" s="358">
        <f>+H25+H26</f>
        <v>417252693.29000002</v>
      </c>
      <c r="I24" s="354">
        <f>+I25+I26</f>
        <v>417252693.29000002</v>
      </c>
      <c r="J24" s="354">
        <f t="shared" si="1"/>
        <v>106361693.29000002</v>
      </c>
      <c r="M24" s="363"/>
    </row>
    <row r="25" spans="1:13" x14ac:dyDescent="0.2">
      <c r="A25" s="272"/>
      <c r="B25" s="277"/>
      <c r="C25" s="830" t="s">
        <v>219</v>
      </c>
      <c r="D25" s="831"/>
      <c r="E25" s="354">
        <v>310891000</v>
      </c>
      <c r="F25" s="358">
        <f>+'Anexo Analitico de Ingresos'!F65+'Anexo Analitico de Ingresos'!F46</f>
        <v>106361693.29072547</v>
      </c>
      <c r="G25" s="354">
        <f t="shared" si="0"/>
        <v>417252693.29072547</v>
      </c>
      <c r="H25" s="358">
        <f>+'Anexo Analitico de Ingresos'!H65+'Anexo Analitico de Ingresos'!H46</f>
        <v>417252693.29000002</v>
      </c>
      <c r="I25" s="354">
        <f>+H25</f>
        <v>417252693.29000002</v>
      </c>
      <c r="J25" s="354">
        <f t="shared" si="1"/>
        <v>106361693.29000002</v>
      </c>
      <c r="M25" s="363"/>
    </row>
    <row r="26" spans="1:13" x14ac:dyDescent="0.2">
      <c r="A26" s="272"/>
      <c r="B26" s="277"/>
      <c r="C26" s="830" t="s">
        <v>220</v>
      </c>
      <c r="D26" s="831"/>
      <c r="E26" s="354">
        <v>0</v>
      </c>
      <c r="F26" s="358">
        <f>+H26-E26</f>
        <v>0</v>
      </c>
      <c r="G26" s="354">
        <f t="shared" si="0"/>
        <v>0</v>
      </c>
      <c r="H26" s="358">
        <v>0</v>
      </c>
      <c r="I26" s="354">
        <v>0</v>
      </c>
      <c r="J26" s="354">
        <f t="shared" si="1"/>
        <v>0</v>
      </c>
      <c r="M26" s="363"/>
    </row>
    <row r="27" spans="1:13" x14ac:dyDescent="0.2">
      <c r="A27" s="272"/>
      <c r="B27" s="851" t="s">
        <v>222</v>
      </c>
      <c r="C27" s="830"/>
      <c r="D27" s="831"/>
      <c r="E27" s="354">
        <v>0</v>
      </c>
      <c r="F27" s="358">
        <v>0</v>
      </c>
      <c r="G27" s="354">
        <f t="shared" si="0"/>
        <v>0</v>
      </c>
      <c r="H27" s="358">
        <v>0</v>
      </c>
      <c r="I27" s="354">
        <v>0</v>
      </c>
      <c r="J27" s="354">
        <f t="shared" si="1"/>
        <v>0</v>
      </c>
      <c r="M27" s="363"/>
    </row>
    <row r="28" spans="1:13" x14ac:dyDescent="0.2">
      <c r="A28" s="272"/>
      <c r="B28" s="851" t="s">
        <v>101</v>
      </c>
      <c r="C28" s="830"/>
      <c r="D28" s="831"/>
      <c r="E28" s="354">
        <v>36620168350</v>
      </c>
      <c r="F28" s="455">
        <f>+'Anexo Analitico de Ingresos'!F69+'Anexo Analitico de Ingresos'!F243</f>
        <v>1163705241.2121696</v>
      </c>
      <c r="G28" s="354">
        <f>+E28+F28</f>
        <v>37783873591.212173</v>
      </c>
      <c r="H28" s="455">
        <f>+'Anexo Analitico de Ingresos'!H69+'Anexo Analitico de Ingresos'!H243</f>
        <v>37783873591.210007</v>
      </c>
      <c r="I28" s="354">
        <f>+H28</f>
        <v>37783873591.210007</v>
      </c>
      <c r="J28" s="354">
        <f>+I28-E28</f>
        <v>1163705241.2100067</v>
      </c>
      <c r="M28" s="363"/>
    </row>
    <row r="29" spans="1:13" ht="15" x14ac:dyDescent="0.25">
      <c r="A29" s="278"/>
      <c r="B29" s="851" t="s">
        <v>223</v>
      </c>
      <c r="C29" s="830"/>
      <c r="D29" s="831"/>
      <c r="E29" s="354">
        <v>290753000</v>
      </c>
      <c r="F29" s="358">
        <f>+'Anexo Analitico de Ingresos'!F240</f>
        <v>11440155</v>
      </c>
      <c r="G29" s="354">
        <f t="shared" si="0"/>
        <v>302193155</v>
      </c>
      <c r="H29" s="358">
        <f>+'Anexo Analitico de Ingresos'!H240</f>
        <v>302193155</v>
      </c>
      <c r="I29" s="354">
        <f>+H29</f>
        <v>302193155</v>
      </c>
      <c r="J29" s="354">
        <f t="shared" si="1"/>
        <v>11440155</v>
      </c>
      <c r="M29" s="363"/>
    </row>
    <row r="30" spans="1:13" x14ac:dyDescent="0.2">
      <c r="A30" s="272"/>
      <c r="B30" s="851" t="s">
        <v>224</v>
      </c>
      <c r="C30" s="830"/>
      <c r="D30" s="831"/>
      <c r="E30" s="354">
        <v>0</v>
      </c>
      <c r="F30" s="358">
        <v>0</v>
      </c>
      <c r="G30" s="354">
        <f>+E30+F30</f>
        <v>0</v>
      </c>
      <c r="H30" s="358">
        <v>0</v>
      </c>
      <c r="I30" s="354">
        <v>0</v>
      </c>
      <c r="J30" s="354">
        <f t="shared" si="1"/>
        <v>0</v>
      </c>
      <c r="M30" s="363"/>
    </row>
    <row r="31" spans="1:13" x14ac:dyDescent="0.2">
      <c r="A31" s="272"/>
      <c r="B31" s="279"/>
      <c r="C31" s="280"/>
      <c r="D31" s="281"/>
      <c r="E31" s="282"/>
      <c r="F31" s="351"/>
      <c r="G31" s="282"/>
      <c r="H31" s="351"/>
      <c r="I31" s="282"/>
      <c r="J31" s="282"/>
      <c r="M31" s="363"/>
    </row>
    <row r="32" spans="1:13" ht="24.75" customHeight="1" x14ac:dyDescent="0.25">
      <c r="A32" s="267"/>
      <c r="B32" s="283"/>
      <c r="C32" s="284"/>
      <c r="D32" s="285" t="s">
        <v>225</v>
      </c>
      <c r="E32" s="453">
        <f>SUM(E17+E18+E19+E20+E21+E24+E27+E28+E29+E30)</f>
        <v>43763068350</v>
      </c>
      <c r="F32" s="453">
        <f>SUM(F17+F18+F19+F20+F21+F24+F27+F28+F29+F30)</f>
        <v>2588841322.5928955</v>
      </c>
      <c r="G32" s="453">
        <f>SUM(G17+G18+G19+G20+G21+G24+G27+G28+G29+G30)</f>
        <v>46351909672.592903</v>
      </c>
      <c r="H32" s="453">
        <f>SUM(H17+H18+H19+H20+H21+H24+H27+H28+H29+H30)</f>
        <v>46351909672.590004</v>
      </c>
      <c r="I32" s="453">
        <f>SUM(I17+I18+I19+I20+I21+I24+I27+I28+I29+I30)</f>
        <v>46351909672.590004</v>
      </c>
      <c r="J32" s="852">
        <f>+J17+J19+J20+J21+J24+J28+J29</f>
        <v>2588841322.5900064</v>
      </c>
      <c r="M32" s="363"/>
    </row>
    <row r="33" spans="1:10" ht="13.5" customHeight="1" x14ac:dyDescent="0.2">
      <c r="A33" s="272"/>
      <c r="B33" s="286"/>
      <c r="C33" s="286"/>
      <c r="D33" s="286"/>
      <c r="E33" s="286"/>
      <c r="F33" s="286"/>
      <c r="G33" s="286"/>
      <c r="H33" s="849" t="s">
        <v>471</v>
      </c>
      <c r="I33" s="850"/>
      <c r="J33" s="853"/>
    </row>
    <row r="34" spans="1:10" ht="13.5" customHeight="1" x14ac:dyDescent="0.2">
      <c r="A34" s="272"/>
      <c r="B34" s="100"/>
      <c r="C34" s="100"/>
      <c r="D34" s="100"/>
      <c r="E34" s="100"/>
      <c r="F34" s="100"/>
      <c r="G34" s="100"/>
      <c r="H34" s="534"/>
      <c r="I34" s="534"/>
      <c r="J34" s="535"/>
    </row>
    <row r="35" spans="1:10" ht="12" customHeight="1" x14ac:dyDescent="0.25">
      <c r="A35" s="267"/>
      <c r="B35" s="267"/>
      <c r="C35" s="267"/>
      <c r="D35" s="267"/>
      <c r="E35" s="268"/>
      <c r="F35" s="268"/>
      <c r="G35" s="410"/>
      <c r="H35" s="268"/>
      <c r="I35" s="268"/>
      <c r="J35" s="268"/>
    </row>
    <row r="36" spans="1:10" ht="12" customHeight="1" x14ac:dyDescent="0.25">
      <c r="A36" s="267"/>
      <c r="B36" s="845" t="s">
        <v>226</v>
      </c>
      <c r="C36" s="845"/>
      <c r="D36" s="845"/>
      <c r="E36" s="844" t="s">
        <v>206</v>
      </c>
      <c r="F36" s="844"/>
      <c r="G36" s="844"/>
      <c r="H36" s="844"/>
      <c r="I36" s="844"/>
      <c r="J36" s="845" t="s">
        <v>207</v>
      </c>
    </row>
    <row r="37" spans="1:10" ht="30" x14ac:dyDescent="0.25">
      <c r="A37" s="267"/>
      <c r="B37" s="845"/>
      <c r="C37" s="845"/>
      <c r="D37" s="845"/>
      <c r="E37" s="270" t="s">
        <v>208</v>
      </c>
      <c r="F37" s="271" t="s">
        <v>209</v>
      </c>
      <c r="G37" s="270" t="s">
        <v>210</v>
      </c>
      <c r="H37" s="270" t="s">
        <v>211</v>
      </c>
      <c r="I37" s="270" t="s">
        <v>212</v>
      </c>
      <c r="J37" s="845"/>
    </row>
    <row r="38" spans="1:10" ht="12" customHeight="1" x14ac:dyDescent="0.25">
      <c r="A38" s="267"/>
      <c r="B38" s="845"/>
      <c r="C38" s="845"/>
      <c r="D38" s="845"/>
      <c r="E38" s="270" t="s">
        <v>213</v>
      </c>
      <c r="F38" s="270" t="s">
        <v>214</v>
      </c>
      <c r="G38" s="270" t="s">
        <v>215</v>
      </c>
      <c r="H38" s="270" t="s">
        <v>216</v>
      </c>
      <c r="I38" s="270" t="s">
        <v>217</v>
      </c>
      <c r="J38" s="270" t="s">
        <v>230</v>
      </c>
    </row>
    <row r="39" spans="1:10" x14ac:dyDescent="0.2">
      <c r="A39" s="272"/>
      <c r="B39" s="273"/>
      <c r="C39" s="274"/>
      <c r="D39" s="275"/>
      <c r="E39" s="276"/>
      <c r="F39" s="276"/>
      <c r="G39" s="276"/>
      <c r="H39" s="276"/>
      <c r="I39" s="276"/>
      <c r="J39" s="276"/>
    </row>
    <row r="40" spans="1:10" ht="15" x14ac:dyDescent="0.25">
      <c r="A40" s="272"/>
      <c r="B40" s="287" t="s">
        <v>227</v>
      </c>
      <c r="C40" s="288"/>
      <c r="D40" s="38"/>
      <c r="E40" s="353">
        <f t="shared" ref="E40:J40" si="2">+E41+E42+E43+E44+E47+E50+E51</f>
        <v>43472315350</v>
      </c>
      <c r="F40" s="353">
        <f t="shared" si="2"/>
        <v>2577401167.5928955</v>
      </c>
      <c r="G40" s="353">
        <f t="shared" si="2"/>
        <v>46049716517.592903</v>
      </c>
      <c r="H40" s="353">
        <f t="shared" si="2"/>
        <v>46049716517.590004</v>
      </c>
      <c r="I40" s="353">
        <f t="shared" si="2"/>
        <v>46049716517.590004</v>
      </c>
      <c r="J40" s="353">
        <f t="shared" si="2"/>
        <v>2577401167.5900064</v>
      </c>
    </row>
    <row r="41" spans="1:10" x14ac:dyDescent="0.2">
      <c r="A41" s="272"/>
      <c r="B41" s="277"/>
      <c r="C41" s="830" t="s">
        <v>84</v>
      </c>
      <c r="D41" s="831"/>
      <c r="E41" s="354">
        <f>+E17</f>
        <v>3958961000</v>
      </c>
      <c r="F41" s="355">
        <f>+F17</f>
        <v>563310471</v>
      </c>
      <c r="G41" s="355">
        <f>+E41+F41</f>
        <v>4522271471</v>
      </c>
      <c r="H41" s="355">
        <f>+H17</f>
        <v>4522271471</v>
      </c>
      <c r="I41" s="355">
        <f>+H41</f>
        <v>4522271471</v>
      </c>
      <c r="J41" s="355">
        <f>+I41-E41</f>
        <v>563310471</v>
      </c>
    </row>
    <row r="42" spans="1:10" x14ac:dyDescent="0.2">
      <c r="A42" s="272"/>
      <c r="B42" s="277"/>
      <c r="C42" s="830" t="s">
        <v>88</v>
      </c>
      <c r="D42" s="831"/>
      <c r="E42" s="354">
        <f>+E19</f>
        <v>382634000</v>
      </c>
      <c r="F42" s="355">
        <f>+F19</f>
        <v>145812508.38999999</v>
      </c>
      <c r="G42" s="355">
        <f t="shared" ref="G42:G56" si="3">+E42+F42</f>
        <v>528446508.38999999</v>
      </c>
      <c r="H42" s="358">
        <f>+H19</f>
        <v>528446508.38999999</v>
      </c>
      <c r="I42" s="354">
        <f>+H42</f>
        <v>528446508.38999999</v>
      </c>
      <c r="J42" s="355">
        <f t="shared" ref="J42:J58" si="4">+I42-E42</f>
        <v>145812508.38999999</v>
      </c>
    </row>
    <row r="43" spans="1:10" x14ac:dyDescent="0.2">
      <c r="A43" s="272"/>
      <c r="B43" s="277"/>
      <c r="C43" s="830" t="s">
        <v>90</v>
      </c>
      <c r="D43" s="831"/>
      <c r="E43" s="354">
        <f>+E20</f>
        <v>2144856000</v>
      </c>
      <c r="F43" s="355">
        <f>+F20</f>
        <v>597730271.82000005</v>
      </c>
      <c r="G43" s="355">
        <f t="shared" si="3"/>
        <v>2742586271.8200002</v>
      </c>
      <c r="H43" s="358">
        <f>+H20</f>
        <v>2742586271.8199997</v>
      </c>
      <c r="I43" s="354">
        <f>+H43</f>
        <v>2742586271.8199997</v>
      </c>
      <c r="J43" s="355">
        <f t="shared" si="4"/>
        <v>597730271.81999969</v>
      </c>
    </row>
    <row r="44" spans="1:10" x14ac:dyDescent="0.2">
      <c r="A44" s="272"/>
      <c r="B44" s="277"/>
      <c r="C44" s="830" t="s">
        <v>218</v>
      </c>
      <c r="D44" s="831"/>
      <c r="E44" s="354">
        <f>+E45+E46</f>
        <v>54805000</v>
      </c>
      <c r="F44" s="355">
        <f>+F45+F46</f>
        <v>480981.88000000268</v>
      </c>
      <c r="G44" s="355">
        <f t="shared" si="3"/>
        <v>55285981.880000003</v>
      </c>
      <c r="H44" s="355">
        <f>+H45+H46</f>
        <v>55285981.880000003</v>
      </c>
      <c r="I44" s="355">
        <f>+I45+I46</f>
        <v>55285981.880000003</v>
      </c>
      <c r="J44" s="355">
        <f t="shared" si="4"/>
        <v>480981.88000000268</v>
      </c>
    </row>
    <row r="45" spans="1:10" x14ac:dyDescent="0.2">
      <c r="A45" s="272"/>
      <c r="B45" s="277"/>
      <c r="C45" s="19"/>
      <c r="D45" s="289" t="s">
        <v>219</v>
      </c>
      <c r="E45" s="354">
        <f>+E22</f>
        <v>54805000</v>
      </c>
      <c r="F45" s="355">
        <f>+F22</f>
        <v>480981.88000000268</v>
      </c>
      <c r="G45" s="355">
        <f t="shared" si="3"/>
        <v>55285981.880000003</v>
      </c>
      <c r="H45" s="355">
        <f>+H22</f>
        <v>55285981.880000003</v>
      </c>
      <c r="I45" s="355">
        <f>+H45</f>
        <v>55285981.880000003</v>
      </c>
      <c r="J45" s="355">
        <f t="shared" si="4"/>
        <v>480981.88000000268</v>
      </c>
    </row>
    <row r="46" spans="1:10" x14ac:dyDescent="0.2">
      <c r="A46" s="272"/>
      <c r="B46" s="277"/>
      <c r="C46" s="19"/>
      <c r="D46" s="289" t="s">
        <v>220</v>
      </c>
      <c r="E46" s="354">
        <v>0</v>
      </c>
      <c r="F46" s="355">
        <v>0</v>
      </c>
      <c r="G46" s="355">
        <f t="shared" si="3"/>
        <v>0</v>
      </c>
      <c r="H46" s="355">
        <v>0</v>
      </c>
      <c r="I46" s="355">
        <v>0</v>
      </c>
      <c r="J46" s="355">
        <f t="shared" si="4"/>
        <v>0</v>
      </c>
    </row>
    <row r="47" spans="1:10" x14ac:dyDescent="0.2">
      <c r="A47" s="272"/>
      <c r="B47" s="277"/>
      <c r="C47" s="830" t="s">
        <v>221</v>
      </c>
      <c r="D47" s="831"/>
      <c r="E47" s="354">
        <f>+E48+E49</f>
        <v>310891000</v>
      </c>
      <c r="F47" s="355">
        <f>+F48+F49</f>
        <v>106361693.29072547</v>
      </c>
      <c r="G47" s="355">
        <f>+G48+G49</f>
        <v>417252693.29072547</v>
      </c>
      <c r="H47" s="355">
        <f>+H48+H49</f>
        <v>417252693.29000002</v>
      </c>
      <c r="I47" s="355">
        <f>+I48+I49</f>
        <v>417252693.29000002</v>
      </c>
      <c r="J47" s="355">
        <f t="shared" si="4"/>
        <v>106361693.29000002</v>
      </c>
    </row>
    <row r="48" spans="1:10" x14ac:dyDescent="0.2">
      <c r="A48" s="272"/>
      <c r="B48" s="277"/>
      <c r="C48" s="19"/>
      <c r="D48" s="289" t="s">
        <v>219</v>
      </c>
      <c r="E48" s="354">
        <f>+E25</f>
        <v>310891000</v>
      </c>
      <c r="F48" s="355">
        <f>+F25</f>
        <v>106361693.29072547</v>
      </c>
      <c r="G48" s="355">
        <f t="shared" si="3"/>
        <v>417252693.29072547</v>
      </c>
      <c r="H48" s="355">
        <f>+H25</f>
        <v>417252693.29000002</v>
      </c>
      <c r="I48" s="355">
        <f>+H48</f>
        <v>417252693.29000002</v>
      </c>
      <c r="J48" s="355">
        <f t="shared" si="4"/>
        <v>106361693.29000002</v>
      </c>
    </row>
    <row r="49" spans="1:11" x14ac:dyDescent="0.2">
      <c r="A49" s="272"/>
      <c r="B49" s="277"/>
      <c r="C49" s="19"/>
      <c r="D49" s="289" t="s">
        <v>220</v>
      </c>
      <c r="E49" s="354">
        <v>0</v>
      </c>
      <c r="F49" s="355">
        <v>0</v>
      </c>
      <c r="G49" s="355">
        <f t="shared" si="3"/>
        <v>0</v>
      </c>
      <c r="H49" s="355">
        <v>0</v>
      </c>
      <c r="I49" s="355">
        <v>0</v>
      </c>
      <c r="J49" s="355">
        <f t="shared" si="4"/>
        <v>0</v>
      </c>
    </row>
    <row r="50" spans="1:11" x14ac:dyDescent="0.2">
      <c r="A50" s="272"/>
      <c r="B50" s="277"/>
      <c r="C50" s="830" t="s">
        <v>101</v>
      </c>
      <c r="D50" s="831"/>
      <c r="E50" s="354">
        <f>+E28</f>
        <v>36620168350</v>
      </c>
      <c r="F50" s="355">
        <f>+F28</f>
        <v>1163705241.2121696</v>
      </c>
      <c r="G50" s="355">
        <f t="shared" si="3"/>
        <v>37783873591.212173</v>
      </c>
      <c r="H50" s="355">
        <f>+H28</f>
        <v>37783873591.210007</v>
      </c>
      <c r="I50" s="355">
        <f>+H50</f>
        <v>37783873591.210007</v>
      </c>
      <c r="J50" s="355">
        <f>+I50-E50</f>
        <v>1163705241.2100067</v>
      </c>
    </row>
    <row r="51" spans="1:11" x14ac:dyDescent="0.2">
      <c r="A51" s="272"/>
      <c r="B51" s="277"/>
      <c r="C51" s="830" t="s">
        <v>223</v>
      </c>
      <c r="D51" s="831"/>
      <c r="E51" s="355">
        <v>0</v>
      </c>
      <c r="F51" s="355">
        <v>0</v>
      </c>
      <c r="G51" s="355">
        <f t="shared" si="3"/>
        <v>0</v>
      </c>
      <c r="H51" s="355">
        <v>0</v>
      </c>
      <c r="I51" s="355">
        <v>0</v>
      </c>
      <c r="J51" s="355">
        <f t="shared" si="4"/>
        <v>0</v>
      </c>
    </row>
    <row r="52" spans="1:11" x14ac:dyDescent="0.2">
      <c r="A52" s="272"/>
      <c r="B52" s="277"/>
      <c r="C52" s="19"/>
      <c r="D52" s="289"/>
      <c r="E52" s="355"/>
      <c r="F52" s="355"/>
      <c r="G52" s="356"/>
      <c r="H52" s="355"/>
      <c r="I52" s="355"/>
      <c r="J52" s="356"/>
    </row>
    <row r="53" spans="1:11" ht="15" x14ac:dyDescent="0.25">
      <c r="A53" s="272"/>
      <c r="B53" s="287" t="s">
        <v>228</v>
      </c>
      <c r="C53" s="288"/>
      <c r="D53" s="289"/>
      <c r="E53" s="353">
        <f>+E54+E55+E56</f>
        <v>290753000</v>
      </c>
      <c r="F53" s="353">
        <f>+F54+F55+F56</f>
        <v>11440155</v>
      </c>
      <c r="G53" s="353">
        <f>+G54+G55+G56</f>
        <v>302193155</v>
      </c>
      <c r="H53" s="353">
        <f>+H54+H55+H56</f>
        <v>302193155</v>
      </c>
      <c r="I53" s="353">
        <f>+I54+I55+I56</f>
        <v>302193155</v>
      </c>
      <c r="J53" s="353">
        <f t="shared" si="4"/>
        <v>11440155</v>
      </c>
    </row>
    <row r="54" spans="1:11" ht="15" x14ac:dyDescent="0.25">
      <c r="A54" s="272"/>
      <c r="B54" s="287"/>
      <c r="C54" s="830" t="s">
        <v>196</v>
      </c>
      <c r="D54" s="831"/>
      <c r="E54" s="355">
        <v>0</v>
      </c>
      <c r="F54" s="355">
        <v>0</v>
      </c>
      <c r="G54" s="355">
        <f t="shared" si="3"/>
        <v>0</v>
      </c>
      <c r="H54" s="355">
        <v>0</v>
      </c>
      <c r="I54" s="355">
        <v>0</v>
      </c>
      <c r="J54" s="355">
        <f t="shared" si="4"/>
        <v>0</v>
      </c>
    </row>
    <row r="55" spans="1:11" x14ac:dyDescent="0.2">
      <c r="A55" s="272"/>
      <c r="B55" s="277"/>
      <c r="C55" s="830" t="s">
        <v>222</v>
      </c>
      <c r="D55" s="831"/>
      <c r="E55" s="355">
        <v>0</v>
      </c>
      <c r="F55" s="355">
        <v>0</v>
      </c>
      <c r="G55" s="355">
        <f t="shared" si="3"/>
        <v>0</v>
      </c>
      <c r="H55" s="355">
        <v>0</v>
      </c>
      <c r="I55" s="355">
        <v>0</v>
      </c>
      <c r="J55" s="355">
        <f t="shared" si="4"/>
        <v>0</v>
      </c>
    </row>
    <row r="56" spans="1:11" x14ac:dyDescent="0.2">
      <c r="A56" s="272"/>
      <c r="B56" s="277"/>
      <c r="C56" s="830" t="s">
        <v>223</v>
      </c>
      <c r="D56" s="831"/>
      <c r="E56" s="354">
        <v>290753000</v>
      </c>
      <c r="F56" s="355">
        <f>+F29</f>
        <v>11440155</v>
      </c>
      <c r="G56" s="355">
        <f t="shared" si="3"/>
        <v>302193155</v>
      </c>
      <c r="H56" s="355">
        <f>+H29</f>
        <v>302193155</v>
      </c>
      <c r="I56" s="355">
        <f>+H56</f>
        <v>302193155</v>
      </c>
      <c r="J56" s="355">
        <f t="shared" si="4"/>
        <v>11440155</v>
      </c>
    </row>
    <row r="57" spans="1:11" s="294" customFormat="1" ht="15" x14ac:dyDescent="0.25">
      <c r="A57" s="267"/>
      <c r="B57" s="290"/>
      <c r="C57" s="291"/>
      <c r="D57" s="292"/>
      <c r="E57" s="357"/>
      <c r="F57" s="357"/>
      <c r="G57" s="357"/>
      <c r="H57" s="357"/>
      <c r="I57" s="357"/>
      <c r="J57" s="357"/>
      <c r="K57" s="293"/>
    </row>
    <row r="58" spans="1:11" ht="15" x14ac:dyDescent="0.25">
      <c r="A58" s="272"/>
      <c r="B58" s="287" t="s">
        <v>229</v>
      </c>
      <c r="C58" s="295"/>
      <c r="D58" s="289"/>
      <c r="E58" s="353">
        <f>+E59</f>
        <v>0</v>
      </c>
      <c r="F58" s="353">
        <f>+F59</f>
        <v>0</v>
      </c>
      <c r="G58" s="353">
        <f>+G59</f>
        <v>0</v>
      </c>
      <c r="H58" s="353">
        <f>+H59</f>
        <v>0</v>
      </c>
      <c r="I58" s="353">
        <f>+I59</f>
        <v>0</v>
      </c>
      <c r="J58" s="353">
        <f t="shared" si="4"/>
        <v>0</v>
      </c>
    </row>
    <row r="59" spans="1:11" x14ac:dyDescent="0.2">
      <c r="A59" s="272"/>
      <c r="B59" s="277"/>
      <c r="C59" s="830" t="s">
        <v>224</v>
      </c>
      <c r="D59" s="831"/>
      <c r="E59" s="355">
        <v>0</v>
      </c>
      <c r="F59" s="355">
        <f>+F30</f>
        <v>0</v>
      </c>
      <c r="G59" s="355">
        <f t="shared" ref="G59" si="5">+E59+F59</f>
        <v>0</v>
      </c>
      <c r="H59" s="355">
        <f>+H30</f>
        <v>0</v>
      </c>
      <c r="I59" s="355">
        <f t="shared" ref="I59:J59" si="6">+I30</f>
        <v>0</v>
      </c>
      <c r="J59" s="355">
        <f t="shared" si="6"/>
        <v>0</v>
      </c>
    </row>
    <row r="60" spans="1:11" x14ac:dyDescent="0.2">
      <c r="A60" s="272"/>
      <c r="B60" s="279"/>
      <c r="C60" s="280"/>
      <c r="D60" s="281"/>
      <c r="E60" s="282"/>
      <c r="F60" s="282"/>
      <c r="G60" s="282"/>
      <c r="H60" s="282"/>
      <c r="I60" s="282"/>
      <c r="J60" s="282"/>
    </row>
    <row r="61" spans="1:11" ht="15" x14ac:dyDescent="0.25">
      <c r="A61" s="267"/>
      <c r="B61" s="283"/>
      <c r="C61" s="284"/>
      <c r="D61" s="296" t="s">
        <v>225</v>
      </c>
      <c r="E61" s="453">
        <f>+E41+E42+E43+E44+E47+E50+E51+E53+E58</f>
        <v>43763068350</v>
      </c>
      <c r="F61" s="453">
        <f t="shared" ref="F61:G61" si="7">+F41+F42+F43+F44+F47+F50+F51+F53+F58</f>
        <v>2588841322.5928955</v>
      </c>
      <c r="G61" s="453">
        <f t="shared" si="7"/>
        <v>46351909672.592903</v>
      </c>
      <c r="H61" s="453">
        <f>+H41+H42+H43+H44+H47+H50+H51+H53+H58</f>
        <v>46351909672.590004</v>
      </c>
      <c r="I61" s="453">
        <f>+I41+I42+I43+I44+I47+I50+I51+I53+I58</f>
        <v>46351909672.590004</v>
      </c>
      <c r="J61" s="847">
        <f>+J40+J53</f>
        <v>2588841322.5900064</v>
      </c>
    </row>
    <row r="62" spans="1:11" ht="15" x14ac:dyDescent="0.2">
      <c r="A62" s="272"/>
      <c r="B62" s="286"/>
      <c r="C62" s="286"/>
      <c r="D62" s="286"/>
      <c r="E62" s="286"/>
      <c r="F62" s="286"/>
      <c r="G62" s="286"/>
      <c r="H62" s="849" t="s">
        <v>471</v>
      </c>
      <c r="I62" s="850"/>
      <c r="J62" s="848"/>
    </row>
    <row r="63" spans="1:11" x14ac:dyDescent="0.2">
      <c r="A63" s="272"/>
      <c r="B63" s="846"/>
      <c r="C63" s="846"/>
      <c r="D63" s="846"/>
      <c r="E63" s="846"/>
      <c r="F63" s="846"/>
      <c r="G63" s="846"/>
      <c r="H63" s="846"/>
      <c r="I63" s="846"/>
      <c r="J63" s="846"/>
    </row>
    <row r="64" spans="1:11" ht="15" x14ac:dyDescent="0.25">
      <c r="B64" s="297" t="s">
        <v>519</v>
      </c>
      <c r="C64" s="297"/>
      <c r="D64" s="17"/>
      <c r="E64" s="17"/>
      <c r="F64" s="17"/>
      <c r="G64" s="17"/>
      <c r="H64" s="17"/>
      <c r="I64" s="17"/>
      <c r="J64" s="17"/>
    </row>
    <row r="65" spans="2:10" x14ac:dyDescent="0.2">
      <c r="B65" s="17"/>
      <c r="C65" s="17"/>
      <c r="D65" s="17"/>
      <c r="E65" s="17"/>
      <c r="F65" s="17"/>
      <c r="G65" s="17"/>
      <c r="H65" s="17"/>
      <c r="I65" s="17"/>
      <c r="J65" s="17"/>
    </row>
    <row r="66" spans="2:10" x14ac:dyDescent="0.2">
      <c r="B66" s="17"/>
      <c r="C66" s="17"/>
      <c r="D66" s="17"/>
      <c r="E66" s="17"/>
      <c r="F66" s="17"/>
      <c r="G66" s="17"/>
      <c r="H66" s="17"/>
      <c r="I66" s="17"/>
      <c r="J66" s="17"/>
    </row>
    <row r="68" spans="2:10" x14ac:dyDescent="0.2">
      <c r="E68" s="363"/>
      <c r="F68" s="363"/>
      <c r="G68" s="363"/>
      <c r="H68" s="363"/>
      <c r="I68" s="363"/>
      <c r="J68" s="363"/>
    </row>
    <row r="69" spans="2:10" x14ac:dyDescent="0.2">
      <c r="H69" s="429"/>
    </row>
  </sheetData>
  <mergeCells count="40">
    <mergeCell ref="B8:J8"/>
    <mergeCell ref="B9:J9"/>
    <mergeCell ref="B10:J10"/>
    <mergeCell ref="B11:J11"/>
    <mergeCell ref="B13:D15"/>
    <mergeCell ref="E13:I13"/>
    <mergeCell ref="J13:J14"/>
    <mergeCell ref="B28:D28"/>
    <mergeCell ref="B17:D17"/>
    <mergeCell ref="B18:D18"/>
    <mergeCell ref="B19:D19"/>
    <mergeCell ref="B20:D20"/>
    <mergeCell ref="B21:D21"/>
    <mergeCell ref="C22:D22"/>
    <mergeCell ref="C23:D23"/>
    <mergeCell ref="B24:D24"/>
    <mergeCell ref="C25:D25"/>
    <mergeCell ref="C26:D26"/>
    <mergeCell ref="B27:D27"/>
    <mergeCell ref="C50:D50"/>
    <mergeCell ref="B29:D29"/>
    <mergeCell ref="B30:D30"/>
    <mergeCell ref="J32:J33"/>
    <mergeCell ref="H33:I33"/>
    <mergeCell ref="B36:D38"/>
    <mergeCell ref="E36:I36"/>
    <mergeCell ref="J36:J37"/>
    <mergeCell ref="C41:D41"/>
    <mergeCell ref="C42:D42"/>
    <mergeCell ref="C43:D43"/>
    <mergeCell ref="C44:D44"/>
    <mergeCell ref="C47:D47"/>
    <mergeCell ref="B63:J63"/>
    <mergeCell ref="C51:D51"/>
    <mergeCell ref="C54:D54"/>
    <mergeCell ref="C55:D55"/>
    <mergeCell ref="C56:D56"/>
    <mergeCell ref="C59:D59"/>
    <mergeCell ref="J61:J62"/>
    <mergeCell ref="H62:I62"/>
  </mergeCells>
  <pageMargins left="0.36" right="0.7" top="0.56999999999999995" bottom="0.57999999999999996" header="0.3" footer="0.3"/>
  <pageSetup scale="55" orientation="landscape" r:id="rId1"/>
  <ignoredErrors>
    <ignoredError sqref="E15:F15 H15:I15 E38:F38 H38:I38" numberStoredAsText="1"/>
    <ignoredError sqref="G21 G24 G47 G44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P263"/>
  <sheetViews>
    <sheetView topLeftCell="A163" workbookViewId="0">
      <selection activeCell="F244" sqref="F243:F244"/>
    </sheetView>
  </sheetViews>
  <sheetFormatPr baseColWidth="10" defaultRowHeight="14.25" x14ac:dyDescent="0.2"/>
  <cols>
    <col min="1" max="1" width="3.140625" style="17" customWidth="1"/>
    <col min="2" max="3" width="3.7109375" style="266" customWidth="1"/>
    <col min="4" max="4" width="55.42578125" style="266" customWidth="1"/>
    <col min="5" max="10" width="19.140625" style="266" customWidth="1"/>
    <col min="11" max="11" width="6.7109375" style="17" customWidth="1"/>
    <col min="12" max="12" width="19.7109375" style="465" bestFit="1" customWidth="1"/>
    <col min="13" max="13" width="19.7109375" style="556" hidden="1" customWidth="1"/>
    <col min="14" max="14" width="18.5703125" style="661" hidden="1" customWidth="1"/>
    <col min="15" max="16" width="11.42578125" style="425"/>
    <col min="17" max="16384" width="11.42578125" style="266"/>
  </cols>
  <sheetData>
    <row r="7" spans="1:16" s="17" customFormat="1" x14ac:dyDescent="0.2">
      <c r="L7" s="519"/>
      <c r="M7" s="556"/>
      <c r="N7" s="661"/>
      <c r="O7" s="425"/>
      <c r="P7" s="425"/>
    </row>
    <row r="8" spans="1:16" ht="15" x14ac:dyDescent="0.25">
      <c r="B8" s="857" t="str">
        <f>+'Relacion Ctas Banc'!B8:D8</f>
        <v>Cuenta Pública 2016</v>
      </c>
      <c r="C8" s="858"/>
      <c r="D8" s="858"/>
      <c r="E8" s="858"/>
      <c r="F8" s="858"/>
      <c r="G8" s="858"/>
      <c r="H8" s="858"/>
      <c r="I8" s="858"/>
      <c r="J8" s="859"/>
      <c r="K8" s="266"/>
    </row>
    <row r="9" spans="1:16" ht="15" x14ac:dyDescent="0.25">
      <c r="B9" s="860" t="s">
        <v>389</v>
      </c>
      <c r="C9" s="861"/>
      <c r="D9" s="861"/>
      <c r="E9" s="861"/>
      <c r="F9" s="861"/>
      <c r="G9" s="861"/>
      <c r="H9" s="861"/>
      <c r="I9" s="861"/>
      <c r="J9" s="862"/>
      <c r="K9" s="266"/>
    </row>
    <row r="10" spans="1:16" ht="20.25" x14ac:dyDescent="0.3">
      <c r="B10" s="860" t="s">
        <v>524</v>
      </c>
      <c r="C10" s="861"/>
      <c r="D10" s="861"/>
      <c r="E10" s="861"/>
      <c r="F10" s="861"/>
      <c r="G10" s="861"/>
      <c r="H10" s="861"/>
      <c r="I10" s="861"/>
      <c r="J10" s="862"/>
      <c r="K10" s="266"/>
    </row>
    <row r="11" spans="1:16" ht="15" x14ac:dyDescent="0.25">
      <c r="B11" s="863" t="str">
        <f>+'Gto Categoria Programatica'!B11:J11</f>
        <v>Del 1 de enero al 31 de diciembre de 2016</v>
      </c>
      <c r="C11" s="864"/>
      <c r="D11" s="864"/>
      <c r="E11" s="864"/>
      <c r="F11" s="864"/>
      <c r="G11" s="864"/>
      <c r="H11" s="864"/>
      <c r="I11" s="864"/>
      <c r="J11" s="865"/>
      <c r="K11" s="266"/>
    </row>
    <row r="12" spans="1:16" s="17" customFormat="1" ht="15" x14ac:dyDescent="0.25">
      <c r="A12" s="267"/>
      <c r="B12" s="267"/>
      <c r="C12" s="267"/>
      <c r="D12" s="267"/>
      <c r="F12" s="268"/>
      <c r="G12" s="268"/>
      <c r="H12" s="268"/>
      <c r="I12" s="268"/>
      <c r="J12" s="268"/>
      <c r="L12" s="519"/>
      <c r="M12" s="556"/>
      <c r="N12" s="661"/>
      <c r="O12" s="425"/>
      <c r="P12" s="425"/>
    </row>
    <row r="13" spans="1:16" ht="12" customHeight="1" x14ac:dyDescent="0.25">
      <c r="A13" s="269"/>
      <c r="B13" s="844" t="s">
        <v>205</v>
      </c>
      <c r="C13" s="844"/>
      <c r="D13" s="844"/>
      <c r="E13" s="844" t="s">
        <v>206</v>
      </c>
      <c r="F13" s="844"/>
      <c r="G13" s="844"/>
      <c r="H13" s="844"/>
      <c r="I13" s="844"/>
      <c r="J13" s="845" t="s">
        <v>207</v>
      </c>
      <c r="K13" s="266"/>
    </row>
    <row r="14" spans="1:16" ht="30" x14ac:dyDescent="0.25">
      <c r="A14" s="267"/>
      <c r="B14" s="844"/>
      <c r="C14" s="844"/>
      <c r="D14" s="844"/>
      <c r="E14" s="470" t="s">
        <v>208</v>
      </c>
      <c r="F14" s="271" t="s">
        <v>209</v>
      </c>
      <c r="G14" s="470" t="s">
        <v>210</v>
      </c>
      <c r="H14" s="470" t="s">
        <v>211</v>
      </c>
      <c r="I14" s="470" t="s">
        <v>212</v>
      </c>
      <c r="J14" s="845"/>
      <c r="K14" s="266"/>
    </row>
    <row r="15" spans="1:16" ht="12" customHeight="1" x14ac:dyDescent="0.25">
      <c r="A15" s="267"/>
      <c r="B15" s="844"/>
      <c r="C15" s="844"/>
      <c r="D15" s="844"/>
      <c r="E15" s="470" t="s">
        <v>213</v>
      </c>
      <c r="F15" s="470" t="s">
        <v>214</v>
      </c>
      <c r="G15" s="470" t="s">
        <v>215</v>
      </c>
      <c r="H15" s="470" t="s">
        <v>216</v>
      </c>
      <c r="I15" s="470" t="s">
        <v>217</v>
      </c>
      <c r="J15" s="470" t="s">
        <v>230</v>
      </c>
      <c r="K15" s="266"/>
    </row>
    <row r="16" spans="1:16" x14ac:dyDescent="0.2">
      <c r="A16" s="272"/>
      <c r="B16" s="273"/>
      <c r="C16" s="274"/>
      <c r="D16" s="275"/>
      <c r="E16" s="276"/>
      <c r="F16" s="189"/>
      <c r="G16" s="352"/>
      <c r="H16" s="352"/>
      <c r="I16" s="475"/>
      <c r="J16" s="352"/>
      <c r="K16" s="266"/>
    </row>
    <row r="17" spans="1:16" s="294" customFormat="1" ht="15" x14ac:dyDescent="0.25">
      <c r="A17" s="267"/>
      <c r="B17" s="854" t="s">
        <v>84</v>
      </c>
      <c r="C17" s="855"/>
      <c r="D17" s="856"/>
      <c r="E17" s="476">
        <f>SUM(E18:E25)</f>
        <v>2982414390</v>
      </c>
      <c r="F17" s="476">
        <f>SUM(F18:F25)</f>
        <v>380414638.92000002</v>
      </c>
      <c r="G17" s="476">
        <f>+E17+F17</f>
        <v>3362829028.9200001</v>
      </c>
      <c r="H17" s="476">
        <f>SUM(H18:H25)</f>
        <v>3362829028.9200001</v>
      </c>
      <c r="I17" s="477">
        <f>SUM(I18:I25)</f>
        <v>3362829028.9200001</v>
      </c>
      <c r="J17" s="476">
        <f>+I17-E17</f>
        <v>380414638.92000008</v>
      </c>
      <c r="K17" s="293"/>
      <c r="L17" s="520"/>
      <c r="M17" s="556">
        <f>+H17-G17</f>
        <v>0</v>
      </c>
      <c r="N17" s="662">
        <v>215786531.1500001</v>
      </c>
      <c r="O17" s="484"/>
      <c r="P17" s="484"/>
    </row>
    <row r="18" spans="1:16" ht="15" x14ac:dyDescent="0.25">
      <c r="A18" s="272"/>
      <c r="B18" s="469"/>
      <c r="C18" s="478" t="s">
        <v>525</v>
      </c>
      <c r="D18" s="468"/>
      <c r="E18" s="354">
        <v>1975707380</v>
      </c>
      <c r="F18" s="354">
        <v>56069134</v>
      </c>
      <c r="G18" s="354">
        <f>+E18+F18</f>
        <v>2031776514</v>
      </c>
      <c r="H18" s="354">
        <v>2031776514</v>
      </c>
      <c r="I18" s="354">
        <f>+H18</f>
        <v>2031776514</v>
      </c>
      <c r="J18" s="354">
        <f>+I18-E18</f>
        <v>56069134</v>
      </c>
      <c r="L18" s="520"/>
      <c r="M18" s="556">
        <f t="shared" ref="M18:M81" si="0">+H18-G18</f>
        <v>0</v>
      </c>
      <c r="N18" s="661">
        <v>56069134</v>
      </c>
    </row>
    <row r="19" spans="1:16" ht="15" x14ac:dyDescent="0.25">
      <c r="A19" s="272"/>
      <c r="B19" s="469"/>
      <c r="C19" s="478" t="s">
        <v>526</v>
      </c>
      <c r="D19" s="468"/>
      <c r="E19" s="354">
        <v>779386990</v>
      </c>
      <c r="F19" s="354">
        <f>152602213.38+177494252.34</f>
        <v>330096465.72000003</v>
      </c>
      <c r="G19" s="354">
        <f t="shared" ref="G19:G50" si="1">+E19+F19</f>
        <v>1109483455.72</v>
      </c>
      <c r="H19" s="354">
        <v>1109483455.72</v>
      </c>
      <c r="I19" s="354">
        <f t="shared" ref="I19:I40" si="2">+H19</f>
        <v>1109483455.72</v>
      </c>
      <c r="J19" s="354">
        <f t="shared" ref="J19:J28" si="3">+I19-E19</f>
        <v>330096465.72000003</v>
      </c>
      <c r="L19" s="520"/>
      <c r="M19" s="556">
        <f t="shared" si="0"/>
        <v>0</v>
      </c>
      <c r="N19" s="661">
        <v>177494252.34000003</v>
      </c>
    </row>
    <row r="20" spans="1:16" ht="15" x14ac:dyDescent="0.25">
      <c r="A20" s="272"/>
      <c r="B20" s="469"/>
      <c r="C20" s="478" t="s">
        <v>527</v>
      </c>
      <c r="D20" s="468"/>
      <c r="E20" s="354">
        <v>80304550</v>
      </c>
      <c r="F20" s="354">
        <f>10558901.39+19281114.54</f>
        <v>29840015.93</v>
      </c>
      <c r="G20" s="354">
        <f t="shared" si="1"/>
        <v>110144565.93000001</v>
      </c>
      <c r="H20" s="354">
        <v>110144565.93000001</v>
      </c>
      <c r="I20" s="354">
        <f t="shared" si="2"/>
        <v>110144565.93000001</v>
      </c>
      <c r="J20" s="354">
        <f t="shared" si="3"/>
        <v>29840015.930000007</v>
      </c>
      <c r="L20" s="520"/>
      <c r="M20" s="556">
        <f t="shared" si="0"/>
        <v>0</v>
      </c>
      <c r="N20" s="661">
        <v>19281114.540000007</v>
      </c>
    </row>
    <row r="21" spans="1:16" ht="15" x14ac:dyDescent="0.25">
      <c r="A21" s="272"/>
      <c r="B21" s="469"/>
      <c r="C21" s="478" t="s">
        <v>528</v>
      </c>
      <c r="D21" s="468"/>
      <c r="E21" s="354">
        <v>31434580</v>
      </c>
      <c r="F21" s="354">
        <v>13117932</v>
      </c>
      <c r="G21" s="354">
        <f t="shared" si="1"/>
        <v>44552512</v>
      </c>
      <c r="H21" s="354">
        <v>44552512</v>
      </c>
      <c r="I21" s="354">
        <f t="shared" si="2"/>
        <v>44552512</v>
      </c>
      <c r="J21" s="354">
        <f t="shared" si="3"/>
        <v>13117932</v>
      </c>
      <c r="L21" s="520"/>
      <c r="M21" s="556">
        <f t="shared" si="0"/>
        <v>0</v>
      </c>
      <c r="N21" s="661">
        <v>13117932</v>
      </c>
    </row>
    <row r="22" spans="1:16" ht="15" x14ac:dyDescent="0.25">
      <c r="A22" s="272"/>
      <c r="B22" s="469"/>
      <c r="C22" s="478" t="s">
        <v>529</v>
      </c>
      <c r="D22" s="468"/>
      <c r="E22" s="354">
        <v>65700190</v>
      </c>
      <c r="F22" s="354">
        <v>-43976450.729999997</v>
      </c>
      <c r="G22" s="354">
        <f t="shared" si="1"/>
        <v>21723739.270000003</v>
      </c>
      <c r="H22" s="354">
        <v>21723739.27</v>
      </c>
      <c r="I22" s="354">
        <f t="shared" si="2"/>
        <v>21723739.27</v>
      </c>
      <c r="J22" s="354">
        <f t="shared" si="3"/>
        <v>-43976450.730000004</v>
      </c>
      <c r="L22" s="520"/>
      <c r="M22" s="556">
        <f t="shared" si="0"/>
        <v>0</v>
      </c>
      <c r="N22" s="661">
        <v>-43976450.730000004</v>
      </c>
    </row>
    <row r="23" spans="1:16" ht="15" x14ac:dyDescent="0.25">
      <c r="A23" s="272"/>
      <c r="B23" s="469"/>
      <c r="C23" s="478" t="s">
        <v>530</v>
      </c>
      <c r="D23" s="468"/>
      <c r="E23" s="354">
        <v>40884930</v>
      </c>
      <c r="F23" s="354">
        <v>-7441793</v>
      </c>
      <c r="G23" s="354">
        <f t="shared" si="1"/>
        <v>33443137</v>
      </c>
      <c r="H23" s="354">
        <v>33443137</v>
      </c>
      <c r="I23" s="354">
        <f t="shared" si="2"/>
        <v>33443137</v>
      </c>
      <c r="J23" s="354">
        <f t="shared" si="3"/>
        <v>-7441793</v>
      </c>
      <c r="L23" s="520"/>
      <c r="M23" s="556">
        <f t="shared" si="0"/>
        <v>0</v>
      </c>
      <c r="N23" s="661">
        <v>-7441793</v>
      </c>
    </row>
    <row r="24" spans="1:16" ht="15" x14ac:dyDescent="0.25">
      <c r="A24" s="272"/>
      <c r="B24" s="469"/>
      <c r="C24" s="478" t="s">
        <v>531</v>
      </c>
      <c r="D24" s="468"/>
      <c r="E24" s="354">
        <v>3495870</v>
      </c>
      <c r="F24" s="354">
        <f>437595+886737</f>
        <v>1324332</v>
      </c>
      <c r="G24" s="354">
        <f t="shared" si="1"/>
        <v>4820202</v>
      </c>
      <c r="H24" s="354">
        <v>4820202</v>
      </c>
      <c r="I24" s="354">
        <f t="shared" si="2"/>
        <v>4820202</v>
      </c>
      <c r="J24" s="354">
        <f t="shared" si="3"/>
        <v>1324332</v>
      </c>
      <c r="L24" s="520"/>
      <c r="M24" s="556">
        <f t="shared" si="0"/>
        <v>0</v>
      </c>
      <c r="N24" s="661">
        <v>886737</v>
      </c>
    </row>
    <row r="25" spans="1:16" ht="15" x14ac:dyDescent="0.25">
      <c r="A25" s="272"/>
      <c r="B25" s="469"/>
      <c r="C25" s="478" t="s">
        <v>532</v>
      </c>
      <c r="D25" s="468"/>
      <c r="E25" s="354">
        <v>5499900</v>
      </c>
      <c r="F25" s="354">
        <f>727951+301447+355605</f>
        <v>1385003</v>
      </c>
      <c r="G25" s="354">
        <f t="shared" si="1"/>
        <v>6884903</v>
      </c>
      <c r="H25" s="354">
        <v>6884903</v>
      </c>
      <c r="I25" s="354">
        <f t="shared" si="2"/>
        <v>6884903</v>
      </c>
      <c r="J25" s="354">
        <f t="shared" si="3"/>
        <v>1385003</v>
      </c>
      <c r="L25" s="520"/>
      <c r="M25" s="556">
        <f t="shared" si="0"/>
        <v>0</v>
      </c>
      <c r="N25" s="661">
        <v>355605</v>
      </c>
    </row>
    <row r="26" spans="1:16" s="294" customFormat="1" ht="15" x14ac:dyDescent="0.25">
      <c r="A26" s="267"/>
      <c r="B26" s="854" t="s">
        <v>196</v>
      </c>
      <c r="C26" s="855"/>
      <c r="D26" s="856"/>
      <c r="E26" s="476">
        <v>0</v>
      </c>
      <c r="F26" s="479">
        <v>0</v>
      </c>
      <c r="G26" s="476">
        <f t="shared" si="1"/>
        <v>0</v>
      </c>
      <c r="H26" s="354">
        <v>0</v>
      </c>
      <c r="I26" s="354">
        <f t="shared" si="2"/>
        <v>0</v>
      </c>
      <c r="J26" s="476">
        <f t="shared" si="3"/>
        <v>0</v>
      </c>
      <c r="K26" s="293"/>
      <c r="L26" s="520"/>
      <c r="M26" s="556">
        <f t="shared" si="0"/>
        <v>0</v>
      </c>
      <c r="N26" s="662">
        <v>0</v>
      </c>
      <c r="O26" s="484"/>
      <c r="P26" s="484"/>
    </row>
    <row r="27" spans="1:16" s="294" customFormat="1" ht="15" x14ac:dyDescent="0.25">
      <c r="A27" s="267"/>
      <c r="B27" s="854" t="s">
        <v>88</v>
      </c>
      <c r="C27" s="855"/>
      <c r="D27" s="856"/>
      <c r="E27" s="476">
        <f>SUM(E28:E32)</f>
        <v>382634000</v>
      </c>
      <c r="F27" s="476">
        <f>SUM(F28:F32)</f>
        <v>145812508.38999999</v>
      </c>
      <c r="G27" s="476">
        <f t="shared" si="1"/>
        <v>528446508.38999999</v>
      </c>
      <c r="H27" s="476">
        <f>SUM(H28:H32)</f>
        <v>528446508.38999999</v>
      </c>
      <c r="I27" s="477">
        <f>SUM(I28:I32)</f>
        <v>528446508.38999999</v>
      </c>
      <c r="J27" s="476">
        <f>+I27-E27</f>
        <v>145812508.38999999</v>
      </c>
      <c r="K27" s="293"/>
      <c r="L27" s="520"/>
      <c r="M27" s="556">
        <f t="shared" si="0"/>
        <v>0</v>
      </c>
      <c r="N27" s="662">
        <v>145812508.38999999</v>
      </c>
      <c r="O27" s="484"/>
      <c r="P27" s="484"/>
    </row>
    <row r="28" spans="1:16" ht="15" x14ac:dyDescent="0.25">
      <c r="A28" s="272"/>
      <c r="B28" s="469"/>
      <c r="C28" s="478" t="s">
        <v>533</v>
      </c>
      <c r="D28" s="468"/>
      <c r="E28" s="354">
        <v>356518000</v>
      </c>
      <c r="F28" s="358">
        <f>+N28</f>
        <v>131450494.25999999</v>
      </c>
      <c r="G28" s="354">
        <f t="shared" si="1"/>
        <v>487968494.25999999</v>
      </c>
      <c r="H28" s="354">
        <v>487968494.25999999</v>
      </c>
      <c r="I28" s="354">
        <f t="shared" si="2"/>
        <v>487968494.25999999</v>
      </c>
      <c r="J28" s="354">
        <f t="shared" si="3"/>
        <v>131450494.25999999</v>
      </c>
      <c r="L28" s="520"/>
      <c r="M28" s="556">
        <f t="shared" si="0"/>
        <v>0</v>
      </c>
      <c r="N28" s="661">
        <v>131450494.25999999</v>
      </c>
    </row>
    <row r="29" spans="1:16" ht="15" x14ac:dyDescent="0.25">
      <c r="A29" s="272"/>
      <c r="B29" s="469"/>
      <c r="C29" s="478" t="s">
        <v>534</v>
      </c>
      <c r="D29" s="468"/>
      <c r="E29" s="354">
        <v>0</v>
      </c>
      <c r="F29" s="358">
        <f t="shared" ref="F29:F40" si="4">+N29</f>
        <v>1208703.23</v>
      </c>
      <c r="G29" s="354">
        <f t="shared" si="1"/>
        <v>1208703.23</v>
      </c>
      <c r="H29" s="354">
        <v>1208703.23</v>
      </c>
      <c r="I29" s="354">
        <f t="shared" si="2"/>
        <v>1208703.23</v>
      </c>
      <c r="J29" s="354">
        <f t="shared" ref="J29:J41" si="5">+I29-E29</f>
        <v>1208703.23</v>
      </c>
      <c r="L29" s="520"/>
      <c r="M29" s="556">
        <f t="shared" si="0"/>
        <v>0</v>
      </c>
      <c r="N29" s="661">
        <v>1208703.23</v>
      </c>
    </row>
    <row r="30" spans="1:16" ht="15" x14ac:dyDescent="0.25">
      <c r="A30" s="272"/>
      <c r="B30" s="469"/>
      <c r="C30" s="478" t="s">
        <v>535</v>
      </c>
      <c r="D30" s="468"/>
      <c r="E30" s="354">
        <v>1000</v>
      </c>
      <c r="F30" s="358">
        <f t="shared" si="4"/>
        <v>-1000</v>
      </c>
      <c r="G30" s="354">
        <f t="shared" si="1"/>
        <v>0</v>
      </c>
      <c r="H30" s="354">
        <v>0</v>
      </c>
      <c r="I30" s="354">
        <f t="shared" si="2"/>
        <v>0</v>
      </c>
      <c r="J30" s="354">
        <f t="shared" si="5"/>
        <v>-1000</v>
      </c>
      <c r="L30" s="520"/>
      <c r="M30" s="556">
        <f t="shared" si="0"/>
        <v>0</v>
      </c>
      <c r="N30" s="661">
        <v>-1000</v>
      </c>
    </row>
    <row r="31" spans="1:16" ht="15" x14ac:dyDescent="0.25">
      <c r="A31" s="272"/>
      <c r="B31" s="469"/>
      <c r="C31" s="478" t="s">
        <v>536</v>
      </c>
      <c r="D31" s="468"/>
      <c r="E31" s="354">
        <v>21560000</v>
      </c>
      <c r="F31" s="358">
        <f t="shared" si="4"/>
        <v>-21560000</v>
      </c>
      <c r="G31" s="354">
        <f t="shared" si="1"/>
        <v>0</v>
      </c>
      <c r="H31" s="354">
        <v>0</v>
      </c>
      <c r="I31" s="354">
        <f t="shared" si="2"/>
        <v>0</v>
      </c>
      <c r="J31" s="354">
        <f t="shared" si="5"/>
        <v>-21560000</v>
      </c>
      <c r="L31" s="520"/>
      <c r="M31" s="556">
        <f t="shared" si="0"/>
        <v>0</v>
      </c>
      <c r="N31" s="661">
        <v>-21560000</v>
      </c>
    </row>
    <row r="32" spans="1:16" ht="15" x14ac:dyDescent="0.25">
      <c r="A32" s="272"/>
      <c r="B32" s="469"/>
      <c r="C32" s="478" t="s">
        <v>537</v>
      </c>
      <c r="D32" s="468"/>
      <c r="E32" s="354">
        <v>4555000</v>
      </c>
      <c r="F32" s="358">
        <f t="shared" si="4"/>
        <v>34714310.899999999</v>
      </c>
      <c r="G32" s="354">
        <f t="shared" si="1"/>
        <v>39269310.899999999</v>
      </c>
      <c r="H32" s="354">
        <v>39269310.899999999</v>
      </c>
      <c r="I32" s="354">
        <f t="shared" si="2"/>
        <v>39269310.899999999</v>
      </c>
      <c r="J32" s="354">
        <f t="shared" si="5"/>
        <v>34714310.899999999</v>
      </c>
      <c r="L32" s="520"/>
      <c r="M32" s="556">
        <f t="shared" si="0"/>
        <v>0</v>
      </c>
      <c r="N32" s="661">
        <v>34714310.899999999</v>
      </c>
    </row>
    <row r="33" spans="1:16" s="294" customFormat="1" ht="15" x14ac:dyDescent="0.25">
      <c r="A33" s="267"/>
      <c r="B33" s="854" t="s">
        <v>90</v>
      </c>
      <c r="C33" s="855"/>
      <c r="D33" s="856"/>
      <c r="E33" s="476">
        <f>SUM(E34:E40)</f>
        <v>2144856000</v>
      </c>
      <c r="F33" s="476">
        <f>SUM(F34:F40)</f>
        <v>596101299.82000005</v>
      </c>
      <c r="G33" s="476">
        <f t="shared" si="1"/>
        <v>2740957299.8200002</v>
      </c>
      <c r="H33" s="476">
        <f>SUM(H34:H40)</f>
        <v>2740957299.8199997</v>
      </c>
      <c r="I33" s="477">
        <f>SUM(I34:I40)</f>
        <v>2740957299.8199997</v>
      </c>
      <c r="J33" s="476">
        <f t="shared" si="5"/>
        <v>596101299.81999969</v>
      </c>
      <c r="K33" s="293"/>
      <c r="L33" s="520"/>
      <c r="M33" s="556">
        <f t="shared" si="0"/>
        <v>0</v>
      </c>
      <c r="N33" s="662">
        <v>596101299.81999969</v>
      </c>
      <c r="O33" s="484"/>
      <c r="P33" s="484"/>
    </row>
    <row r="34" spans="1:16" ht="15" x14ac:dyDescent="0.25">
      <c r="A34" s="272"/>
      <c r="B34" s="469"/>
      <c r="C34" s="478" t="s">
        <v>538</v>
      </c>
      <c r="D34" s="468"/>
      <c r="E34" s="354">
        <v>1323664460</v>
      </c>
      <c r="F34" s="358">
        <f t="shared" si="4"/>
        <v>447237065.67000008</v>
      </c>
      <c r="G34" s="354">
        <f t="shared" si="1"/>
        <v>1770901525.6700001</v>
      </c>
      <c r="H34" s="354">
        <v>1770901525.6700001</v>
      </c>
      <c r="I34" s="354">
        <f t="shared" si="2"/>
        <v>1770901525.6700001</v>
      </c>
      <c r="J34" s="354">
        <f t="shared" si="5"/>
        <v>447237065.67000008</v>
      </c>
      <c r="L34" s="520"/>
      <c r="M34" s="556">
        <f t="shared" si="0"/>
        <v>0</v>
      </c>
      <c r="N34" s="661">
        <v>447237065.67000008</v>
      </c>
    </row>
    <row r="35" spans="1:16" ht="15" x14ac:dyDescent="0.25">
      <c r="A35" s="272"/>
      <c r="B35" s="469"/>
      <c r="C35" s="478" t="s">
        <v>539</v>
      </c>
      <c r="D35" s="468"/>
      <c r="E35" s="354">
        <v>17119220</v>
      </c>
      <c r="F35" s="358">
        <f t="shared" si="4"/>
        <v>7467609</v>
      </c>
      <c r="G35" s="354">
        <f t="shared" si="1"/>
        <v>24586829</v>
      </c>
      <c r="H35" s="354">
        <v>24586829</v>
      </c>
      <c r="I35" s="354">
        <f t="shared" si="2"/>
        <v>24586829</v>
      </c>
      <c r="J35" s="354">
        <f t="shared" si="5"/>
        <v>7467609</v>
      </c>
      <c r="L35" s="520"/>
      <c r="M35" s="556">
        <f t="shared" si="0"/>
        <v>0</v>
      </c>
      <c r="N35" s="661">
        <v>7467609</v>
      </c>
    </row>
    <row r="36" spans="1:16" ht="15" x14ac:dyDescent="0.25">
      <c r="A36" s="272"/>
      <c r="B36" s="469"/>
      <c r="C36" s="478" t="s">
        <v>540</v>
      </c>
      <c r="D36" s="468"/>
      <c r="E36" s="354">
        <v>408849320</v>
      </c>
      <c r="F36" s="358">
        <f t="shared" si="4"/>
        <v>-433821.72000002861</v>
      </c>
      <c r="G36" s="354">
        <f t="shared" si="1"/>
        <v>408415498.27999997</v>
      </c>
      <c r="H36" s="354">
        <v>408415498.27999997</v>
      </c>
      <c r="I36" s="354">
        <f t="shared" si="2"/>
        <v>408415498.27999997</v>
      </c>
      <c r="J36" s="354">
        <f t="shared" si="5"/>
        <v>-433821.72000002861</v>
      </c>
      <c r="L36" s="520"/>
      <c r="M36" s="556">
        <f t="shared" si="0"/>
        <v>0</v>
      </c>
      <c r="N36" s="661">
        <v>-433821.72000002861</v>
      </c>
    </row>
    <row r="37" spans="1:16" ht="15" x14ac:dyDescent="0.25">
      <c r="A37" s="272"/>
      <c r="B37" s="469"/>
      <c r="C37" s="478" t="s">
        <v>541</v>
      </c>
      <c r="D37" s="468"/>
      <c r="E37" s="354">
        <v>140200000</v>
      </c>
      <c r="F37" s="358">
        <f t="shared" si="4"/>
        <v>59585165</v>
      </c>
      <c r="G37" s="354">
        <f t="shared" si="1"/>
        <v>199785165</v>
      </c>
      <c r="H37" s="354">
        <v>199785165</v>
      </c>
      <c r="I37" s="354">
        <f t="shared" si="2"/>
        <v>199785165</v>
      </c>
      <c r="J37" s="354">
        <f t="shared" si="5"/>
        <v>59585165</v>
      </c>
      <c r="L37" s="520"/>
      <c r="M37" s="556">
        <f t="shared" si="0"/>
        <v>0</v>
      </c>
      <c r="N37" s="661">
        <v>59585165</v>
      </c>
    </row>
    <row r="38" spans="1:16" ht="15" x14ac:dyDescent="0.25">
      <c r="A38" s="272"/>
      <c r="B38" s="469"/>
      <c r="C38" s="478" t="s">
        <v>542</v>
      </c>
      <c r="D38" s="468"/>
      <c r="E38" s="354">
        <v>73478000</v>
      </c>
      <c r="F38" s="358">
        <f t="shared" si="4"/>
        <v>17745476.5</v>
      </c>
      <c r="G38" s="354">
        <f t="shared" si="1"/>
        <v>91223476.5</v>
      </c>
      <c r="H38" s="354">
        <v>91223476.5</v>
      </c>
      <c r="I38" s="354">
        <f t="shared" si="2"/>
        <v>91223476.5</v>
      </c>
      <c r="J38" s="354">
        <f t="shared" si="5"/>
        <v>17745476.5</v>
      </c>
      <c r="L38" s="520"/>
      <c r="M38" s="556">
        <f t="shared" si="0"/>
        <v>0</v>
      </c>
      <c r="N38" s="661">
        <v>17745476.5</v>
      </c>
    </row>
    <row r="39" spans="1:16" ht="15" x14ac:dyDescent="0.25">
      <c r="A39" s="272"/>
      <c r="B39" s="469"/>
      <c r="C39" s="478" t="s">
        <v>543</v>
      </c>
      <c r="D39" s="468"/>
      <c r="E39" s="354">
        <v>110023000</v>
      </c>
      <c r="F39" s="358">
        <f t="shared" si="4"/>
        <v>1943413</v>
      </c>
      <c r="G39" s="354">
        <f t="shared" si="1"/>
        <v>111966413</v>
      </c>
      <c r="H39" s="354">
        <v>111966413</v>
      </c>
      <c r="I39" s="354">
        <f t="shared" si="2"/>
        <v>111966413</v>
      </c>
      <c r="J39" s="354">
        <f t="shared" si="5"/>
        <v>1943413</v>
      </c>
      <c r="L39" s="520"/>
      <c r="M39" s="556">
        <f t="shared" si="0"/>
        <v>0</v>
      </c>
      <c r="N39" s="661">
        <v>1943413</v>
      </c>
    </row>
    <row r="40" spans="1:16" ht="15" x14ac:dyDescent="0.25">
      <c r="A40" s="272"/>
      <c r="B40" s="469"/>
      <c r="C40" s="478" t="s">
        <v>544</v>
      </c>
      <c r="D40" s="468"/>
      <c r="E40" s="354">
        <v>71522000</v>
      </c>
      <c r="F40" s="358">
        <f t="shared" si="4"/>
        <v>62556392.370000005</v>
      </c>
      <c r="G40" s="354">
        <f t="shared" si="1"/>
        <v>134078392.37</v>
      </c>
      <c r="H40" s="354">
        <v>134078392.37</v>
      </c>
      <c r="I40" s="354">
        <f t="shared" si="2"/>
        <v>134078392.37</v>
      </c>
      <c r="J40" s="354">
        <f t="shared" si="5"/>
        <v>62556392.370000005</v>
      </c>
      <c r="L40" s="520"/>
      <c r="M40" s="556">
        <f t="shared" si="0"/>
        <v>0</v>
      </c>
      <c r="N40" s="661">
        <v>62556392.370000005</v>
      </c>
    </row>
    <row r="41" spans="1:16" s="294" customFormat="1" ht="15" x14ac:dyDescent="0.25">
      <c r="A41" s="267"/>
      <c r="B41" s="854" t="s">
        <v>218</v>
      </c>
      <c r="C41" s="855"/>
      <c r="D41" s="856"/>
      <c r="E41" s="476">
        <f t="shared" ref="E41:I41" si="6">+E42+E45</f>
        <v>54805000</v>
      </c>
      <c r="F41" s="476">
        <f t="shared" si="6"/>
        <v>480981.88000000268</v>
      </c>
      <c r="G41" s="476">
        <f t="shared" si="6"/>
        <v>55285981.880000003</v>
      </c>
      <c r="H41" s="476">
        <f t="shared" si="6"/>
        <v>55285981.880000003</v>
      </c>
      <c r="I41" s="477">
        <f t="shared" si="6"/>
        <v>55285981.880000003</v>
      </c>
      <c r="J41" s="476">
        <f t="shared" si="5"/>
        <v>480981.88000000268</v>
      </c>
      <c r="K41" s="293"/>
      <c r="L41" s="520"/>
      <c r="M41" s="556">
        <f t="shared" si="0"/>
        <v>0</v>
      </c>
      <c r="N41" s="662">
        <v>480981.88000000268</v>
      </c>
      <c r="O41" s="484"/>
      <c r="P41" s="484"/>
    </row>
    <row r="42" spans="1:16" ht="15" x14ac:dyDescent="0.25">
      <c r="A42" s="272"/>
      <c r="B42" s="277"/>
      <c r="C42" s="830" t="s">
        <v>219</v>
      </c>
      <c r="D42" s="831"/>
      <c r="E42" s="354">
        <f>+E43+E44</f>
        <v>54805000</v>
      </c>
      <c r="F42" s="354">
        <f>+N42</f>
        <v>480981.88000000268</v>
      </c>
      <c r="G42" s="354">
        <f t="shared" si="1"/>
        <v>55285981.880000003</v>
      </c>
      <c r="H42" s="354">
        <f>+H43+H44</f>
        <v>55285981.880000003</v>
      </c>
      <c r="I42" s="354">
        <f t="shared" ref="I42" si="7">+I43+I44</f>
        <v>55285981.880000003</v>
      </c>
      <c r="J42" s="354">
        <f>+J43+J44</f>
        <v>480981.88000000361</v>
      </c>
      <c r="L42" s="520"/>
      <c r="M42" s="556">
        <f t="shared" si="0"/>
        <v>0</v>
      </c>
      <c r="N42" s="661">
        <v>480981.88000000268</v>
      </c>
    </row>
    <row r="43" spans="1:16" ht="15" x14ac:dyDescent="0.25">
      <c r="A43" s="272"/>
      <c r="B43" s="277"/>
      <c r="D43" s="478" t="s">
        <v>545</v>
      </c>
      <c r="E43" s="354">
        <v>54805000</v>
      </c>
      <c r="F43" s="354">
        <f t="shared" ref="F43:F49" si="8">+N43</f>
        <v>-5548498.2299999967</v>
      </c>
      <c r="G43" s="354">
        <f t="shared" si="1"/>
        <v>49256501.770000003</v>
      </c>
      <c r="H43" s="354">
        <v>49256501.770000003</v>
      </c>
      <c r="I43" s="354">
        <f t="shared" ref="I43:I45" si="9">+H43</f>
        <v>49256501.770000003</v>
      </c>
      <c r="J43" s="354">
        <f t="shared" ref="J43:J52" si="10">+I43-E43</f>
        <v>-5548498.2299999967</v>
      </c>
      <c r="L43" s="520"/>
      <c r="M43" s="556">
        <f t="shared" si="0"/>
        <v>0</v>
      </c>
      <c r="N43" s="661">
        <v>-5548498.2299999967</v>
      </c>
    </row>
    <row r="44" spans="1:16" ht="15" x14ac:dyDescent="0.25">
      <c r="A44" s="272"/>
      <c r="B44" s="277"/>
      <c r="C44" s="467"/>
      <c r="D44" s="468" t="s">
        <v>546</v>
      </c>
      <c r="E44" s="354">
        <v>0</v>
      </c>
      <c r="F44" s="354">
        <f t="shared" si="8"/>
        <v>6029480.1100000003</v>
      </c>
      <c r="G44" s="354">
        <f t="shared" si="1"/>
        <v>6029480.1100000003</v>
      </c>
      <c r="H44" s="354">
        <v>6029480.1100000003</v>
      </c>
      <c r="I44" s="354">
        <f t="shared" si="9"/>
        <v>6029480.1100000003</v>
      </c>
      <c r="J44" s="354">
        <f t="shared" si="10"/>
        <v>6029480.1100000003</v>
      </c>
      <c r="L44" s="520"/>
      <c r="M44" s="556">
        <f t="shared" si="0"/>
        <v>0</v>
      </c>
      <c r="N44" s="661">
        <v>6029480.1100000003</v>
      </c>
    </row>
    <row r="45" spans="1:16" ht="15" x14ac:dyDescent="0.25">
      <c r="A45" s="272"/>
      <c r="B45" s="277"/>
      <c r="C45" s="830" t="s">
        <v>220</v>
      </c>
      <c r="D45" s="831"/>
      <c r="E45" s="354">
        <v>0</v>
      </c>
      <c r="F45" s="354">
        <f t="shared" si="8"/>
        <v>0</v>
      </c>
      <c r="G45" s="354">
        <f t="shared" si="1"/>
        <v>0</v>
      </c>
      <c r="H45" s="354">
        <v>0</v>
      </c>
      <c r="I45" s="354">
        <f t="shared" si="9"/>
        <v>0</v>
      </c>
      <c r="J45" s="354">
        <f t="shared" si="10"/>
        <v>0</v>
      </c>
      <c r="L45" s="520"/>
      <c r="M45" s="556">
        <f t="shared" si="0"/>
        <v>0</v>
      </c>
      <c r="N45" s="661">
        <v>0</v>
      </c>
    </row>
    <row r="46" spans="1:16" s="294" customFormat="1" ht="15" x14ac:dyDescent="0.25">
      <c r="A46" s="267"/>
      <c r="B46" s="854" t="s">
        <v>221</v>
      </c>
      <c r="C46" s="855"/>
      <c r="D46" s="856"/>
      <c r="E46" s="476">
        <f>+E47</f>
        <v>303972439.99927455</v>
      </c>
      <c r="F46" s="476">
        <f>+F47</f>
        <v>48134836.110725462</v>
      </c>
      <c r="G46" s="476">
        <f t="shared" si="1"/>
        <v>352107276.11000001</v>
      </c>
      <c r="H46" s="476">
        <f>+H47+H49</f>
        <v>352107276.11000001</v>
      </c>
      <c r="I46" s="477">
        <f>+I47+I49</f>
        <v>352107276.11000001</v>
      </c>
      <c r="J46" s="476">
        <f t="shared" si="10"/>
        <v>48134836.110725462</v>
      </c>
      <c r="K46" s="293"/>
      <c r="L46" s="520"/>
      <c r="M46" s="556">
        <f t="shared" si="0"/>
        <v>0</v>
      </c>
      <c r="N46" s="662">
        <v>48134836.110725462</v>
      </c>
      <c r="O46" s="484"/>
      <c r="P46" s="484"/>
    </row>
    <row r="47" spans="1:16" ht="15" x14ac:dyDescent="0.25">
      <c r="A47" s="272"/>
      <c r="B47" s="277"/>
      <c r="C47" s="830" t="s">
        <v>219</v>
      </c>
      <c r="D47" s="831"/>
      <c r="E47" s="354">
        <f>+E48+E49</f>
        <v>303972439.99927455</v>
      </c>
      <c r="F47" s="354">
        <f t="shared" si="8"/>
        <v>48134836.110725462</v>
      </c>
      <c r="G47" s="354">
        <f t="shared" si="1"/>
        <v>352107276.11000001</v>
      </c>
      <c r="H47" s="354">
        <f>+H48+H49</f>
        <v>352107276.11000001</v>
      </c>
      <c r="I47" s="480">
        <f>+H47</f>
        <v>352107276.11000001</v>
      </c>
      <c r="J47" s="354">
        <f t="shared" si="10"/>
        <v>48134836.110725462</v>
      </c>
      <c r="L47" s="520"/>
      <c r="M47" s="556">
        <f t="shared" si="0"/>
        <v>0</v>
      </c>
      <c r="N47" s="661">
        <v>48134836.110725462</v>
      </c>
    </row>
    <row r="48" spans="1:16" ht="15" x14ac:dyDescent="0.25">
      <c r="A48" s="272"/>
      <c r="B48" s="277"/>
      <c r="C48" s="467"/>
      <c r="D48" s="468" t="s">
        <v>547</v>
      </c>
      <c r="E48" s="354">
        <v>303972439.99927455</v>
      </c>
      <c r="F48" s="354">
        <f t="shared" si="8"/>
        <v>48134836.110725462</v>
      </c>
      <c r="G48" s="354">
        <f t="shared" si="1"/>
        <v>352107276.11000001</v>
      </c>
      <c r="H48" s="354">
        <v>352107276.11000001</v>
      </c>
      <c r="I48" s="354">
        <f t="shared" ref="I48:I49" si="11">+H48</f>
        <v>352107276.11000001</v>
      </c>
      <c r="J48" s="354">
        <f t="shared" si="10"/>
        <v>48134836.110725462</v>
      </c>
      <c r="L48" s="520"/>
      <c r="M48" s="556">
        <f t="shared" si="0"/>
        <v>0</v>
      </c>
      <c r="N48" s="661">
        <v>48134836.110725462</v>
      </c>
    </row>
    <row r="49" spans="1:16" ht="15" x14ac:dyDescent="0.25">
      <c r="A49" s="272"/>
      <c r="B49" s="277"/>
      <c r="C49" s="830" t="s">
        <v>220</v>
      </c>
      <c r="D49" s="831"/>
      <c r="E49" s="354">
        <v>0</v>
      </c>
      <c r="F49" s="354">
        <f t="shared" si="8"/>
        <v>0</v>
      </c>
      <c r="G49" s="354">
        <f t="shared" si="1"/>
        <v>0</v>
      </c>
      <c r="H49" s="354">
        <v>0</v>
      </c>
      <c r="I49" s="354">
        <f t="shared" si="11"/>
        <v>0</v>
      </c>
      <c r="J49" s="354">
        <f t="shared" si="10"/>
        <v>0</v>
      </c>
      <c r="L49" s="520"/>
      <c r="M49" s="556">
        <f t="shared" si="0"/>
        <v>0</v>
      </c>
      <c r="N49" s="661">
        <v>0</v>
      </c>
    </row>
    <row r="50" spans="1:16" s="294" customFormat="1" ht="15" x14ac:dyDescent="0.25">
      <c r="A50" s="267"/>
      <c r="B50" s="854" t="s">
        <v>222</v>
      </c>
      <c r="C50" s="855"/>
      <c r="D50" s="856"/>
      <c r="E50" s="476">
        <v>0</v>
      </c>
      <c r="F50" s="479">
        <v>0</v>
      </c>
      <c r="G50" s="476">
        <f t="shared" si="1"/>
        <v>0</v>
      </c>
      <c r="H50" s="476">
        <v>0</v>
      </c>
      <c r="I50" s="477">
        <v>0</v>
      </c>
      <c r="J50" s="476">
        <f t="shared" si="10"/>
        <v>0</v>
      </c>
      <c r="K50" s="293"/>
      <c r="L50" s="520"/>
      <c r="M50" s="556">
        <f t="shared" si="0"/>
        <v>0</v>
      </c>
      <c r="N50" s="662">
        <v>0</v>
      </c>
      <c r="O50" s="484"/>
      <c r="P50" s="484"/>
    </row>
    <row r="51" spans="1:16" s="294" customFormat="1" ht="15" x14ac:dyDescent="0.25">
      <c r="A51" s="267"/>
      <c r="B51" s="854" t="s">
        <v>548</v>
      </c>
      <c r="C51" s="855"/>
      <c r="D51" s="856"/>
      <c r="E51" s="476">
        <f t="shared" ref="E51:G51" si="12">+E52+E65+E63</f>
        <v>983465170</v>
      </c>
      <c r="F51" s="476">
        <f t="shared" si="12"/>
        <v>242751661.25999999</v>
      </c>
      <c r="G51" s="476">
        <f t="shared" si="12"/>
        <v>1226216831.26</v>
      </c>
      <c r="H51" s="476">
        <f>+H52+H65+H63</f>
        <v>1226216831.26</v>
      </c>
      <c r="I51" s="476">
        <f t="shared" ref="I51" si="13">+I52+I65+I63</f>
        <v>1226216831.26</v>
      </c>
      <c r="J51" s="476">
        <f t="shared" si="10"/>
        <v>242751661.25999999</v>
      </c>
      <c r="K51" s="293"/>
      <c r="L51" s="520"/>
      <c r="M51" s="556">
        <f t="shared" si="0"/>
        <v>0</v>
      </c>
      <c r="N51" s="662">
        <v>242751661.25999999</v>
      </c>
      <c r="O51" s="484"/>
      <c r="P51" s="484"/>
    </row>
    <row r="52" spans="1:16" s="294" customFormat="1" ht="15" x14ac:dyDescent="0.25">
      <c r="A52" s="267"/>
      <c r="B52" s="471"/>
      <c r="C52" s="830" t="s">
        <v>84</v>
      </c>
      <c r="D52" s="831"/>
      <c r="E52" s="476">
        <f>SUM(E53:E62)</f>
        <v>976546610</v>
      </c>
      <c r="F52" s="476">
        <f t="shared" ref="F52:I52" si="14">SUM(F53:F62)</f>
        <v>182895832.07999998</v>
      </c>
      <c r="G52" s="476">
        <f t="shared" si="14"/>
        <v>1159442442.0799999</v>
      </c>
      <c r="H52" s="476">
        <f t="shared" si="14"/>
        <v>1159442442.0799999</v>
      </c>
      <c r="I52" s="476">
        <f t="shared" si="14"/>
        <v>1159442442.0799999</v>
      </c>
      <c r="J52" s="476">
        <f t="shared" si="10"/>
        <v>182895832.07999992</v>
      </c>
      <c r="K52" s="293"/>
      <c r="L52" s="520"/>
      <c r="M52" s="556">
        <f t="shared" si="0"/>
        <v>0</v>
      </c>
      <c r="N52" s="662">
        <v>182895832.07999992</v>
      </c>
      <c r="O52" s="484"/>
      <c r="P52" s="484"/>
    </row>
    <row r="53" spans="1:16" s="294" customFormat="1" ht="15" x14ac:dyDescent="0.25">
      <c r="A53" s="267"/>
      <c r="B53" s="471"/>
      <c r="C53" s="472"/>
      <c r="D53" s="468" t="s">
        <v>549</v>
      </c>
      <c r="E53" s="354">
        <v>95979583.280000001</v>
      </c>
      <c r="F53" s="354">
        <f t="shared" ref="F53:F68" si="15">+N53</f>
        <v>-51699380.93</v>
      </c>
      <c r="G53" s="354">
        <f t="shared" ref="G53:G62" si="16">+E53+F53</f>
        <v>44280202.350000001</v>
      </c>
      <c r="H53" s="354">
        <v>44280202.350000001</v>
      </c>
      <c r="I53" s="354">
        <f t="shared" ref="I53:I62" si="17">+H53</f>
        <v>44280202.350000001</v>
      </c>
      <c r="J53" s="354">
        <f t="shared" ref="J53:J68" si="18">+I53-E53</f>
        <v>-51699380.93</v>
      </c>
      <c r="K53" s="293"/>
      <c r="L53" s="520"/>
      <c r="M53" s="556">
        <f t="shared" si="0"/>
        <v>0</v>
      </c>
      <c r="N53" s="662">
        <v>-51699380.93</v>
      </c>
      <c r="O53" s="484"/>
      <c r="P53" s="484"/>
    </row>
    <row r="54" spans="1:16" s="294" customFormat="1" ht="15" x14ac:dyDescent="0.25">
      <c r="A54" s="267"/>
      <c r="B54" s="471"/>
      <c r="C54" s="472"/>
      <c r="D54" s="468" t="s">
        <v>550</v>
      </c>
      <c r="E54" s="354">
        <v>383520</v>
      </c>
      <c r="F54" s="354">
        <f t="shared" si="15"/>
        <v>-306893</v>
      </c>
      <c r="G54" s="354">
        <f t="shared" si="16"/>
        <v>76627</v>
      </c>
      <c r="H54" s="354">
        <v>76627</v>
      </c>
      <c r="I54" s="354">
        <f t="shared" si="17"/>
        <v>76627</v>
      </c>
      <c r="J54" s="354">
        <f t="shared" si="18"/>
        <v>-306893</v>
      </c>
      <c r="K54" s="293"/>
      <c r="L54" s="520"/>
      <c r="M54" s="556">
        <f t="shared" si="0"/>
        <v>0</v>
      </c>
      <c r="N54" s="662">
        <v>-306893</v>
      </c>
      <c r="O54" s="484"/>
      <c r="P54" s="484"/>
    </row>
    <row r="55" spans="1:16" s="294" customFormat="1" ht="15" x14ac:dyDescent="0.25">
      <c r="A55" s="267"/>
      <c r="B55" s="471"/>
      <c r="C55" s="472"/>
      <c r="D55" s="468" t="s">
        <v>551</v>
      </c>
      <c r="E55" s="354">
        <v>73787030</v>
      </c>
      <c r="F55" s="354">
        <f t="shared" si="15"/>
        <v>18494261.430000007</v>
      </c>
      <c r="G55" s="354">
        <f t="shared" si="16"/>
        <v>92281291.430000007</v>
      </c>
      <c r="H55" s="354">
        <v>92281291.430000007</v>
      </c>
      <c r="I55" s="354">
        <f t="shared" si="17"/>
        <v>92281291.430000007</v>
      </c>
      <c r="J55" s="354">
        <f t="shared" si="18"/>
        <v>18494261.430000007</v>
      </c>
      <c r="K55" s="293"/>
      <c r="L55" s="520"/>
      <c r="M55" s="556">
        <f t="shared" si="0"/>
        <v>0</v>
      </c>
      <c r="N55" s="662">
        <v>18494261.430000007</v>
      </c>
      <c r="O55" s="484"/>
      <c r="P55" s="484"/>
    </row>
    <row r="56" spans="1:16" s="294" customFormat="1" ht="15" x14ac:dyDescent="0.25">
      <c r="A56" s="267"/>
      <c r="B56" s="471"/>
      <c r="C56" s="472"/>
      <c r="D56" s="468" t="s">
        <v>552</v>
      </c>
      <c r="E56" s="354">
        <v>583289730</v>
      </c>
      <c r="F56" s="354">
        <f t="shared" si="15"/>
        <v>135237540.27999997</v>
      </c>
      <c r="G56" s="354">
        <f t="shared" si="16"/>
        <v>718527270.27999997</v>
      </c>
      <c r="H56" s="354">
        <v>718527270.27999997</v>
      </c>
      <c r="I56" s="354">
        <f t="shared" si="17"/>
        <v>718527270.27999997</v>
      </c>
      <c r="J56" s="354">
        <f t="shared" si="18"/>
        <v>135237540.27999997</v>
      </c>
      <c r="K56" s="293"/>
      <c r="L56" s="520"/>
      <c r="M56" s="556">
        <f t="shared" si="0"/>
        <v>0</v>
      </c>
      <c r="N56" s="662">
        <v>135237540.27999997</v>
      </c>
      <c r="O56" s="484"/>
      <c r="P56" s="484"/>
    </row>
    <row r="57" spans="1:16" s="294" customFormat="1" ht="15" x14ac:dyDescent="0.25">
      <c r="A57" s="267"/>
      <c r="B57" s="471"/>
      <c r="C57" s="472"/>
      <c r="D57" s="468" t="s">
        <v>553</v>
      </c>
      <c r="E57" s="354">
        <v>46124736.719999999</v>
      </c>
      <c r="F57" s="354">
        <f t="shared" si="15"/>
        <v>-3116106.9200000018</v>
      </c>
      <c r="G57" s="354">
        <f t="shared" si="16"/>
        <v>43008629.799999997</v>
      </c>
      <c r="H57" s="354">
        <v>43008629.799999997</v>
      </c>
      <c r="I57" s="354">
        <f t="shared" si="17"/>
        <v>43008629.799999997</v>
      </c>
      <c r="J57" s="354">
        <f t="shared" si="18"/>
        <v>-3116106.9200000018</v>
      </c>
      <c r="K57" s="293"/>
      <c r="L57" s="520"/>
      <c r="M57" s="556">
        <f t="shared" si="0"/>
        <v>0</v>
      </c>
      <c r="N57" s="662">
        <v>-3116106.9200000018</v>
      </c>
      <c r="O57" s="484"/>
      <c r="P57" s="484"/>
    </row>
    <row r="58" spans="1:16" s="294" customFormat="1" ht="15" x14ac:dyDescent="0.25">
      <c r="A58" s="267"/>
      <c r="B58" s="471"/>
      <c r="C58" s="472"/>
      <c r="D58" s="468" t="s">
        <v>554</v>
      </c>
      <c r="E58" s="354">
        <v>0</v>
      </c>
      <c r="F58" s="354">
        <f t="shared" si="15"/>
        <v>3149616.75</v>
      </c>
      <c r="G58" s="354">
        <f t="shared" si="16"/>
        <v>3149616.75</v>
      </c>
      <c r="H58" s="354">
        <v>3149616.75</v>
      </c>
      <c r="I58" s="354">
        <f t="shared" si="17"/>
        <v>3149616.75</v>
      </c>
      <c r="J58" s="354">
        <f t="shared" si="18"/>
        <v>3149616.75</v>
      </c>
      <c r="K58" s="293"/>
      <c r="L58" s="520"/>
      <c r="M58" s="556">
        <f t="shared" si="0"/>
        <v>0</v>
      </c>
      <c r="N58" s="662">
        <v>3149616.75</v>
      </c>
      <c r="O58" s="484"/>
      <c r="P58" s="484"/>
    </row>
    <row r="59" spans="1:16" s="294" customFormat="1" ht="15" x14ac:dyDescent="0.25">
      <c r="A59" s="267"/>
      <c r="B59" s="471"/>
      <c r="C59" s="472"/>
      <c r="D59" s="468" t="s">
        <v>555</v>
      </c>
      <c r="E59" s="354">
        <v>174795130</v>
      </c>
      <c r="F59" s="354">
        <f t="shared" si="15"/>
        <v>47607341.520000011</v>
      </c>
      <c r="G59" s="354">
        <f t="shared" si="16"/>
        <v>222402471.52000001</v>
      </c>
      <c r="H59" s="354">
        <v>222402471.52000001</v>
      </c>
      <c r="I59" s="354">
        <f t="shared" si="17"/>
        <v>222402471.52000001</v>
      </c>
      <c r="J59" s="354">
        <f t="shared" si="18"/>
        <v>47607341.520000011</v>
      </c>
      <c r="K59" s="293"/>
      <c r="L59" s="520"/>
      <c r="M59" s="556">
        <f t="shared" si="0"/>
        <v>0</v>
      </c>
      <c r="N59" s="662">
        <v>47607341.520000011</v>
      </c>
      <c r="O59" s="484"/>
      <c r="P59" s="484"/>
    </row>
    <row r="60" spans="1:16" s="294" customFormat="1" ht="15" x14ac:dyDescent="0.25">
      <c r="A60" s="267"/>
      <c r="B60" s="471"/>
      <c r="C60" s="472"/>
      <c r="D60" s="468" t="s">
        <v>556</v>
      </c>
      <c r="E60" s="354">
        <v>0</v>
      </c>
      <c r="F60" s="354">
        <f t="shared" si="15"/>
        <v>152511</v>
      </c>
      <c r="G60" s="354">
        <f t="shared" si="16"/>
        <v>152511</v>
      </c>
      <c r="H60" s="354">
        <v>152511</v>
      </c>
      <c r="I60" s="354">
        <f t="shared" si="17"/>
        <v>152511</v>
      </c>
      <c r="J60" s="354">
        <f t="shared" si="18"/>
        <v>152511</v>
      </c>
      <c r="K60" s="293"/>
      <c r="L60" s="520"/>
      <c r="M60" s="556">
        <f t="shared" si="0"/>
        <v>0</v>
      </c>
      <c r="N60" s="662">
        <v>152511</v>
      </c>
      <c r="O60" s="484"/>
      <c r="P60" s="484"/>
    </row>
    <row r="61" spans="1:16" s="294" customFormat="1" ht="15" x14ac:dyDescent="0.25">
      <c r="A61" s="267"/>
      <c r="B61" s="471"/>
      <c r="C61" s="472"/>
      <c r="D61" s="468" t="s">
        <v>557</v>
      </c>
      <c r="E61" s="354">
        <v>2186880</v>
      </c>
      <c r="F61" s="354">
        <f t="shared" si="15"/>
        <v>16539954</v>
      </c>
      <c r="G61" s="354">
        <f t="shared" si="16"/>
        <v>18726834</v>
      </c>
      <c r="H61" s="354">
        <v>18726834</v>
      </c>
      <c r="I61" s="354">
        <f t="shared" si="17"/>
        <v>18726834</v>
      </c>
      <c r="J61" s="354">
        <f t="shared" si="18"/>
        <v>16539954</v>
      </c>
      <c r="K61" s="293"/>
      <c r="L61" s="520"/>
      <c r="M61" s="556">
        <f t="shared" si="0"/>
        <v>0</v>
      </c>
      <c r="N61" s="662">
        <v>16539954</v>
      </c>
      <c r="O61" s="484"/>
      <c r="P61" s="484"/>
    </row>
    <row r="62" spans="1:16" s="294" customFormat="1" ht="15" x14ac:dyDescent="0.25">
      <c r="A62" s="267"/>
      <c r="B62" s="471"/>
      <c r="C62" s="472"/>
      <c r="D62" s="468" t="s">
        <v>558</v>
      </c>
      <c r="E62" s="354">
        <v>0</v>
      </c>
      <c r="F62" s="354">
        <f t="shared" si="15"/>
        <v>16836987.949999999</v>
      </c>
      <c r="G62" s="354">
        <f t="shared" si="16"/>
        <v>16836987.949999999</v>
      </c>
      <c r="H62" s="354">
        <v>16836987.949999999</v>
      </c>
      <c r="I62" s="354">
        <f t="shared" si="17"/>
        <v>16836987.949999999</v>
      </c>
      <c r="J62" s="354">
        <f t="shared" si="18"/>
        <v>16836987.949999999</v>
      </c>
      <c r="K62" s="293"/>
      <c r="L62" s="520"/>
      <c r="M62" s="556">
        <f t="shared" si="0"/>
        <v>0</v>
      </c>
      <c r="N62" s="662">
        <v>16836987.949999999</v>
      </c>
      <c r="O62" s="484"/>
      <c r="P62" s="484"/>
    </row>
    <row r="63" spans="1:16" s="294" customFormat="1" ht="15" x14ac:dyDescent="0.25">
      <c r="A63" s="267"/>
      <c r="B63" s="471"/>
      <c r="C63" s="830" t="s">
        <v>90</v>
      </c>
      <c r="D63" s="831"/>
      <c r="E63" s="476">
        <f>+E64</f>
        <v>0</v>
      </c>
      <c r="F63" s="476">
        <f t="shared" ref="F63:H63" si="19">+F64</f>
        <v>1628972</v>
      </c>
      <c r="G63" s="476">
        <f t="shared" si="19"/>
        <v>1628972</v>
      </c>
      <c r="H63" s="476">
        <f t="shared" si="19"/>
        <v>1628972</v>
      </c>
      <c r="I63" s="476">
        <f t="shared" ref="I63" si="20">+I64</f>
        <v>1628972</v>
      </c>
      <c r="J63" s="476">
        <f>+I63-E63</f>
        <v>1628972</v>
      </c>
      <c r="K63" s="518"/>
      <c r="L63" s="520"/>
      <c r="M63" s="556">
        <f t="shared" si="0"/>
        <v>0</v>
      </c>
      <c r="N63" s="662">
        <v>1628972</v>
      </c>
      <c r="O63" s="484"/>
      <c r="P63" s="484"/>
    </row>
    <row r="64" spans="1:16" s="294" customFormat="1" ht="15" x14ac:dyDescent="0.25">
      <c r="A64" s="267"/>
      <c r="B64" s="471"/>
      <c r="C64" s="472"/>
      <c r="D64" s="468" t="s">
        <v>559</v>
      </c>
      <c r="E64" s="476"/>
      <c r="F64" s="354">
        <f t="shared" si="15"/>
        <v>1628972</v>
      </c>
      <c r="G64" s="354">
        <f t="shared" ref="G64" si="21">+E64+F64</f>
        <v>1628972</v>
      </c>
      <c r="H64" s="354">
        <v>1628972</v>
      </c>
      <c r="I64" s="354">
        <f t="shared" ref="I64" si="22">+H64</f>
        <v>1628972</v>
      </c>
      <c r="J64" s="354">
        <f t="shared" ref="J64" si="23">+I64-E64</f>
        <v>1628972</v>
      </c>
      <c r="K64" s="293"/>
      <c r="L64" s="520"/>
      <c r="M64" s="556">
        <f t="shared" si="0"/>
        <v>0</v>
      </c>
      <c r="N64" s="662">
        <v>1628972</v>
      </c>
      <c r="O64" s="484"/>
      <c r="P64" s="484"/>
    </row>
    <row r="65" spans="1:16" s="294" customFormat="1" ht="15" x14ac:dyDescent="0.25">
      <c r="A65" s="267"/>
      <c r="B65" s="471"/>
      <c r="C65" s="830" t="s">
        <v>221</v>
      </c>
      <c r="D65" s="831"/>
      <c r="E65" s="476">
        <f>+E66+E67+E68</f>
        <v>6918560</v>
      </c>
      <c r="F65" s="476">
        <f>+F66+F67+F68</f>
        <v>58226857.18</v>
      </c>
      <c r="G65" s="476">
        <f t="shared" ref="G65:I65" si="24">+G66+G67+G68</f>
        <v>65145417.18</v>
      </c>
      <c r="H65" s="476">
        <f t="shared" si="24"/>
        <v>65145417.18</v>
      </c>
      <c r="I65" s="476">
        <f t="shared" si="24"/>
        <v>65145417.18</v>
      </c>
      <c r="J65" s="476">
        <f>+I65-E65</f>
        <v>58226857.18</v>
      </c>
      <c r="K65" s="518"/>
      <c r="L65" s="520"/>
      <c r="M65" s="556">
        <f t="shared" si="0"/>
        <v>0</v>
      </c>
      <c r="N65" s="662">
        <v>58226857.18</v>
      </c>
      <c r="O65" s="484"/>
      <c r="P65" s="484"/>
    </row>
    <row r="66" spans="1:16" s="294" customFormat="1" ht="15" x14ac:dyDescent="0.25">
      <c r="A66" s="267"/>
      <c r="B66" s="471"/>
      <c r="C66" s="472"/>
      <c r="D66" s="468" t="s">
        <v>560</v>
      </c>
      <c r="E66" s="354">
        <v>6918560</v>
      </c>
      <c r="F66" s="354">
        <f t="shared" si="15"/>
        <v>4937024.3000000007</v>
      </c>
      <c r="G66" s="354">
        <f>+E66+F66</f>
        <v>11855584.300000001</v>
      </c>
      <c r="H66" s="354">
        <v>11855584.300000001</v>
      </c>
      <c r="I66" s="354">
        <f t="shared" ref="I66:I68" si="25">+H66</f>
        <v>11855584.300000001</v>
      </c>
      <c r="J66" s="354">
        <f t="shared" si="18"/>
        <v>4937024.3000000007</v>
      </c>
      <c r="K66" s="293"/>
      <c r="L66" s="520"/>
      <c r="M66" s="556">
        <f t="shared" si="0"/>
        <v>0</v>
      </c>
      <c r="N66" s="662">
        <v>4937024.3000000007</v>
      </c>
      <c r="O66" s="484"/>
      <c r="P66" s="484"/>
    </row>
    <row r="67" spans="1:16" s="294" customFormat="1" ht="15" x14ac:dyDescent="0.25">
      <c r="A67" s="267"/>
      <c r="B67" s="471"/>
      <c r="C67" s="472"/>
      <c r="D67" s="468" t="s">
        <v>561</v>
      </c>
      <c r="E67" s="354">
        <v>0</v>
      </c>
      <c r="F67" s="354">
        <f t="shared" si="15"/>
        <v>40469353.890000001</v>
      </c>
      <c r="G67" s="354">
        <f>+E67+F67</f>
        <v>40469353.890000001</v>
      </c>
      <c r="H67" s="354">
        <v>40469353.890000001</v>
      </c>
      <c r="I67" s="354">
        <f t="shared" si="25"/>
        <v>40469353.890000001</v>
      </c>
      <c r="J67" s="354">
        <f t="shared" si="18"/>
        <v>40469353.890000001</v>
      </c>
      <c r="K67" s="293"/>
      <c r="L67" s="520"/>
      <c r="M67" s="556">
        <f t="shared" si="0"/>
        <v>0</v>
      </c>
      <c r="N67" s="662">
        <v>40469353.890000001</v>
      </c>
      <c r="O67" s="484"/>
      <c r="P67" s="484"/>
    </row>
    <row r="68" spans="1:16" s="294" customFormat="1" ht="15" x14ac:dyDescent="0.25">
      <c r="A68" s="267"/>
      <c r="B68" s="471"/>
      <c r="C68" s="472"/>
      <c r="D68" s="468" t="s">
        <v>562</v>
      </c>
      <c r="E68" s="354">
        <v>0</v>
      </c>
      <c r="F68" s="354">
        <f t="shared" si="15"/>
        <v>12820478.99</v>
      </c>
      <c r="G68" s="354">
        <f>+E68+F68</f>
        <v>12820478.99</v>
      </c>
      <c r="H68" s="354">
        <v>12820478.99</v>
      </c>
      <c r="I68" s="354">
        <f t="shared" si="25"/>
        <v>12820478.99</v>
      </c>
      <c r="J68" s="354">
        <f t="shared" si="18"/>
        <v>12820478.99</v>
      </c>
      <c r="K68" s="293"/>
      <c r="L68" s="520"/>
      <c r="M68" s="556">
        <f t="shared" si="0"/>
        <v>0</v>
      </c>
      <c r="N68" s="662">
        <v>12820478.99</v>
      </c>
      <c r="O68" s="484"/>
      <c r="P68" s="484"/>
    </row>
    <row r="69" spans="1:16" s="294" customFormat="1" ht="15" x14ac:dyDescent="0.25">
      <c r="A69" s="267"/>
      <c r="B69" s="854" t="s">
        <v>101</v>
      </c>
      <c r="C69" s="855"/>
      <c r="D69" s="856"/>
      <c r="E69" s="476">
        <f>SUM(E71:E95)</f>
        <v>36620168349.997833</v>
      </c>
      <c r="F69" s="476">
        <f>SUM(F71:F95)</f>
        <v>971729021.27216959</v>
      </c>
      <c r="G69" s="476">
        <f>+E69+F69</f>
        <v>37591897371.270004</v>
      </c>
      <c r="H69" s="476">
        <f>SUM(H71:H95)</f>
        <v>37591897371.270004</v>
      </c>
      <c r="I69" s="476">
        <f t="shared" ref="I69:J69" si="26">SUM(I71:I95)</f>
        <v>37591897371.270004</v>
      </c>
      <c r="J69" s="476">
        <f t="shared" si="26"/>
        <v>971729021.27216959</v>
      </c>
      <c r="K69" s="293"/>
      <c r="L69" s="520"/>
      <c r="M69" s="556">
        <f t="shared" si="0"/>
        <v>0</v>
      </c>
      <c r="N69" s="662">
        <v>971729021.27217102</v>
      </c>
      <c r="O69" s="484"/>
      <c r="P69" s="484"/>
    </row>
    <row r="70" spans="1:16" ht="15" x14ac:dyDescent="0.25">
      <c r="A70" s="272"/>
      <c r="B70" s="469"/>
      <c r="C70" s="830" t="s">
        <v>110</v>
      </c>
      <c r="D70" s="831"/>
      <c r="E70" s="354"/>
      <c r="F70" s="358"/>
      <c r="G70" s="354"/>
      <c r="H70" s="354"/>
      <c r="I70" s="480"/>
      <c r="J70" s="354"/>
      <c r="L70" s="520"/>
      <c r="M70" s="556">
        <f t="shared" si="0"/>
        <v>0</v>
      </c>
      <c r="N70" s="661">
        <v>0</v>
      </c>
    </row>
    <row r="71" spans="1:16" ht="15" x14ac:dyDescent="0.25">
      <c r="A71" s="272"/>
      <c r="B71" s="469"/>
      <c r="C71" s="467"/>
      <c r="D71" s="468" t="s">
        <v>563</v>
      </c>
      <c r="E71" s="354">
        <v>11505771973.510801</v>
      </c>
      <c r="F71" s="354">
        <f t="shared" ref="F71:F81" si="27">+N71</f>
        <v>997128180.49919891</v>
      </c>
      <c r="G71" s="354">
        <f>+E71+F71</f>
        <v>12502900154.01</v>
      </c>
      <c r="H71" s="354">
        <v>12502900154.01</v>
      </c>
      <c r="I71" s="354">
        <f t="shared" ref="I71:I81" si="28">+H71</f>
        <v>12502900154.01</v>
      </c>
      <c r="J71" s="354">
        <f t="shared" ref="J71:J80" si="29">+I71-E71</f>
        <v>997128180.49919891</v>
      </c>
      <c r="L71" s="520"/>
      <c r="M71" s="556">
        <f t="shared" si="0"/>
        <v>0</v>
      </c>
      <c r="N71" s="661">
        <v>997128180.49919891</v>
      </c>
    </row>
    <row r="72" spans="1:16" ht="15" x14ac:dyDescent="0.25">
      <c r="A72" s="272"/>
      <c r="B72" s="469"/>
      <c r="C72" s="467"/>
      <c r="D72" s="468" t="s">
        <v>564</v>
      </c>
      <c r="E72" s="354">
        <v>355641300.54034072</v>
      </c>
      <c r="F72" s="354">
        <f t="shared" si="27"/>
        <v>-59737354.540340722</v>
      </c>
      <c r="G72" s="354">
        <f t="shared" ref="G72:G93" si="30">+E72+F72</f>
        <v>295903946</v>
      </c>
      <c r="H72" s="354">
        <v>295903946</v>
      </c>
      <c r="I72" s="354">
        <f t="shared" si="28"/>
        <v>295903946</v>
      </c>
      <c r="J72" s="354">
        <f t="shared" si="29"/>
        <v>-59737354.540340722</v>
      </c>
      <c r="L72" s="520"/>
      <c r="M72" s="556">
        <f t="shared" si="0"/>
        <v>0</v>
      </c>
      <c r="N72" s="661">
        <v>-59737354.540340722</v>
      </c>
    </row>
    <row r="73" spans="1:16" ht="15" x14ac:dyDescent="0.25">
      <c r="A73" s="272"/>
      <c r="B73" s="469"/>
      <c r="C73" s="467"/>
      <c r="D73" s="468" t="s">
        <v>565</v>
      </c>
      <c r="E73" s="354">
        <v>416357896.99674004</v>
      </c>
      <c r="F73" s="354">
        <f t="shared" si="27"/>
        <v>43062429.003259957</v>
      </c>
      <c r="G73" s="354">
        <f t="shared" si="30"/>
        <v>459420326</v>
      </c>
      <c r="H73" s="354">
        <v>459420326</v>
      </c>
      <c r="I73" s="354">
        <f t="shared" si="28"/>
        <v>459420326</v>
      </c>
      <c r="J73" s="354">
        <f t="shared" si="29"/>
        <v>43062429.003259957</v>
      </c>
      <c r="L73" s="520"/>
      <c r="M73" s="556">
        <f t="shared" si="0"/>
        <v>0</v>
      </c>
      <c r="N73" s="661">
        <v>43062429.003259957</v>
      </c>
    </row>
    <row r="74" spans="1:16" ht="15" x14ac:dyDescent="0.25">
      <c r="A74" s="272"/>
      <c r="B74" s="469"/>
      <c r="C74" s="467"/>
      <c r="D74" s="468" t="s">
        <v>566</v>
      </c>
      <c r="E74" s="354">
        <v>561725358.94994998</v>
      </c>
      <c r="F74" s="354">
        <f t="shared" si="27"/>
        <v>44813639.05005002</v>
      </c>
      <c r="G74" s="354">
        <f t="shared" si="30"/>
        <v>606538998</v>
      </c>
      <c r="H74" s="354">
        <v>606538998</v>
      </c>
      <c r="I74" s="354">
        <f t="shared" si="28"/>
        <v>606538998</v>
      </c>
      <c r="J74" s="354">
        <f t="shared" si="29"/>
        <v>44813639.05005002</v>
      </c>
      <c r="L74" s="520"/>
      <c r="M74" s="556">
        <f t="shared" si="0"/>
        <v>0</v>
      </c>
      <c r="N74" s="661">
        <v>44813639.05005002</v>
      </c>
    </row>
    <row r="75" spans="1:16" ht="15" x14ac:dyDescent="0.25">
      <c r="A75" s="272"/>
      <c r="B75" s="469"/>
      <c r="C75" s="467"/>
      <c r="D75" s="468" t="s">
        <v>567</v>
      </c>
      <c r="E75" s="354">
        <v>0</v>
      </c>
      <c r="F75" s="354">
        <f t="shared" si="27"/>
        <v>297983284</v>
      </c>
      <c r="G75" s="354">
        <f t="shared" si="30"/>
        <v>297983284</v>
      </c>
      <c r="H75" s="354">
        <v>297983284</v>
      </c>
      <c r="I75" s="354">
        <f t="shared" si="28"/>
        <v>297983284</v>
      </c>
      <c r="J75" s="354">
        <f t="shared" si="29"/>
        <v>297983284</v>
      </c>
      <c r="L75" s="520"/>
      <c r="M75" s="556">
        <f t="shared" si="0"/>
        <v>0</v>
      </c>
      <c r="N75" s="661">
        <v>297983284</v>
      </c>
    </row>
    <row r="76" spans="1:16" ht="15" x14ac:dyDescent="0.25">
      <c r="A76" s="272"/>
      <c r="B76" s="469"/>
      <c r="C76" s="467"/>
      <c r="D76" s="468" t="s">
        <v>568</v>
      </c>
      <c r="E76" s="354">
        <v>72046440</v>
      </c>
      <c r="F76" s="354">
        <f t="shared" si="27"/>
        <v>2608824</v>
      </c>
      <c r="G76" s="354">
        <f t="shared" si="30"/>
        <v>74655264</v>
      </c>
      <c r="H76" s="354">
        <v>74655264</v>
      </c>
      <c r="I76" s="354">
        <f t="shared" si="28"/>
        <v>74655264</v>
      </c>
      <c r="J76" s="354">
        <f t="shared" si="29"/>
        <v>2608824</v>
      </c>
      <c r="L76" s="520"/>
      <c r="M76" s="556">
        <f t="shared" si="0"/>
        <v>0</v>
      </c>
      <c r="N76" s="661">
        <v>2608824</v>
      </c>
    </row>
    <row r="77" spans="1:16" ht="15" x14ac:dyDescent="0.25">
      <c r="A77" s="272"/>
      <c r="B77" s="469"/>
      <c r="C77" s="467"/>
      <c r="D77" s="468" t="s">
        <v>569</v>
      </c>
      <c r="E77" s="354">
        <v>873791480</v>
      </c>
      <c r="F77" s="354">
        <f t="shared" si="27"/>
        <v>551063053</v>
      </c>
      <c r="G77" s="354">
        <f t="shared" si="30"/>
        <v>1424854533</v>
      </c>
      <c r="H77" s="354">
        <v>1424854533</v>
      </c>
      <c r="I77" s="354">
        <f t="shared" si="28"/>
        <v>1424854533</v>
      </c>
      <c r="J77" s="354">
        <f t="shared" si="29"/>
        <v>551063053</v>
      </c>
      <c r="L77" s="520"/>
      <c r="M77" s="556">
        <f t="shared" si="0"/>
        <v>0</v>
      </c>
      <c r="N77" s="661">
        <v>551063053</v>
      </c>
    </row>
    <row r="78" spans="1:16" ht="15" x14ac:dyDescent="0.25">
      <c r="A78" s="272"/>
      <c r="B78" s="469"/>
      <c r="C78" s="467"/>
      <c r="D78" s="468" t="s">
        <v>570</v>
      </c>
      <c r="E78" s="354">
        <v>59401000</v>
      </c>
      <c r="F78" s="354">
        <f t="shared" si="27"/>
        <v>-59401000</v>
      </c>
      <c r="G78" s="354">
        <f t="shared" si="30"/>
        <v>0</v>
      </c>
      <c r="H78" s="354">
        <v>0</v>
      </c>
      <c r="I78" s="354">
        <f t="shared" si="28"/>
        <v>0</v>
      </c>
      <c r="J78" s="354">
        <f t="shared" si="29"/>
        <v>-59401000</v>
      </c>
      <c r="L78" s="520"/>
      <c r="M78" s="556">
        <f t="shared" si="0"/>
        <v>0</v>
      </c>
      <c r="N78" s="661">
        <v>-59401000</v>
      </c>
    </row>
    <row r="79" spans="1:16" ht="15" x14ac:dyDescent="0.25">
      <c r="A79" s="272"/>
      <c r="B79" s="469"/>
      <c r="C79" s="467"/>
      <c r="D79" s="486" t="s">
        <v>571</v>
      </c>
      <c r="E79" s="354">
        <v>30687550</v>
      </c>
      <c r="F79" s="354">
        <f t="shared" si="27"/>
        <v>-3288311</v>
      </c>
      <c r="G79" s="354">
        <f t="shared" si="30"/>
        <v>27399239</v>
      </c>
      <c r="H79" s="354">
        <v>27399239</v>
      </c>
      <c r="I79" s="354">
        <f t="shared" si="28"/>
        <v>27399239</v>
      </c>
      <c r="J79" s="354">
        <f t="shared" si="29"/>
        <v>-3288311</v>
      </c>
      <c r="L79" s="520"/>
      <c r="M79" s="556">
        <f t="shared" si="0"/>
        <v>0</v>
      </c>
      <c r="N79" s="661">
        <v>-3288311</v>
      </c>
    </row>
    <row r="80" spans="1:16" ht="15" x14ac:dyDescent="0.25">
      <c r="A80" s="272"/>
      <c r="B80" s="469"/>
      <c r="C80" s="467"/>
      <c r="D80" s="486" t="s">
        <v>572</v>
      </c>
      <c r="E80" s="354">
        <v>509000000</v>
      </c>
      <c r="F80" s="354">
        <f t="shared" si="27"/>
        <v>-352814943</v>
      </c>
      <c r="G80" s="354">
        <f t="shared" si="30"/>
        <v>156185057</v>
      </c>
      <c r="H80" s="354">
        <v>156185057</v>
      </c>
      <c r="I80" s="354">
        <f t="shared" si="28"/>
        <v>156185057</v>
      </c>
      <c r="J80" s="354">
        <f t="shared" si="29"/>
        <v>-352814943</v>
      </c>
      <c r="L80" s="520"/>
      <c r="M80" s="556">
        <f t="shared" si="0"/>
        <v>0</v>
      </c>
      <c r="N80" s="661">
        <v>-352814943</v>
      </c>
    </row>
    <row r="81" spans="1:14" ht="15" x14ac:dyDescent="0.25">
      <c r="A81" s="272"/>
      <c r="B81" s="487"/>
      <c r="C81" s="485"/>
      <c r="D81" s="486" t="s">
        <v>681</v>
      </c>
      <c r="E81" s="354">
        <v>0</v>
      </c>
      <c r="F81" s="354">
        <f t="shared" si="27"/>
        <v>425440357</v>
      </c>
      <c r="G81" s="354">
        <f t="shared" si="30"/>
        <v>425440357</v>
      </c>
      <c r="H81" s="354">
        <v>425440357</v>
      </c>
      <c r="I81" s="354">
        <f t="shared" si="28"/>
        <v>425440357</v>
      </c>
      <c r="J81" s="354">
        <f t="shared" ref="J81" si="31">+I81-E81</f>
        <v>425440357</v>
      </c>
      <c r="L81" s="520"/>
      <c r="M81" s="556">
        <f t="shared" si="0"/>
        <v>0</v>
      </c>
      <c r="N81" s="661">
        <v>425440357</v>
      </c>
    </row>
    <row r="82" spans="1:14" ht="15" x14ac:dyDescent="0.25">
      <c r="A82" s="272"/>
      <c r="B82" s="469"/>
      <c r="C82" s="478" t="s">
        <v>50</v>
      </c>
      <c r="D82" s="468"/>
      <c r="E82" s="354"/>
      <c r="F82" s="358"/>
      <c r="G82" s="354"/>
      <c r="H82" s="354"/>
      <c r="I82" s="358"/>
      <c r="J82" s="354"/>
      <c r="L82" s="520"/>
      <c r="M82" s="556">
        <f t="shared" ref="M82:M145" si="32">+H82-G82</f>
        <v>0</v>
      </c>
      <c r="N82" s="661">
        <v>0</v>
      </c>
    </row>
    <row r="83" spans="1:14" ht="15" x14ac:dyDescent="0.25">
      <c r="A83" s="272"/>
      <c r="B83" s="469"/>
      <c r="C83" s="467"/>
      <c r="D83" s="468" t="s">
        <v>573</v>
      </c>
      <c r="E83" s="354">
        <v>10028544660</v>
      </c>
      <c r="F83" s="354">
        <f t="shared" ref="F83:F93" si="33">+N83</f>
        <v>-947200488.70000076</v>
      </c>
      <c r="G83" s="354">
        <f t="shared" si="30"/>
        <v>9081344171.2999992</v>
      </c>
      <c r="H83" s="354">
        <v>9081344171.2999992</v>
      </c>
      <c r="I83" s="354">
        <f t="shared" ref="I83:I93" si="34">+H83</f>
        <v>9081344171.2999992</v>
      </c>
      <c r="J83" s="354">
        <f>+I83-E83</f>
        <v>-947200488.70000076</v>
      </c>
      <c r="L83" s="520"/>
      <c r="M83" s="556">
        <f t="shared" si="32"/>
        <v>0</v>
      </c>
      <c r="N83" s="661">
        <v>-947200488.70000076</v>
      </c>
    </row>
    <row r="84" spans="1:14" ht="15" x14ac:dyDescent="0.25">
      <c r="A84" s="272"/>
      <c r="B84" s="469"/>
      <c r="C84" s="467"/>
      <c r="D84" s="468" t="s">
        <v>574</v>
      </c>
      <c r="E84" s="354">
        <v>1630560280</v>
      </c>
      <c r="F84" s="354">
        <f t="shared" si="33"/>
        <v>94212405</v>
      </c>
      <c r="G84" s="354">
        <f t="shared" si="30"/>
        <v>1724772685</v>
      </c>
      <c r="H84" s="354">
        <v>1724772685</v>
      </c>
      <c r="I84" s="354">
        <f t="shared" si="34"/>
        <v>1724772685</v>
      </c>
      <c r="J84" s="354">
        <f t="shared" ref="J84:J93" si="35">+I84-E84</f>
        <v>94212405</v>
      </c>
      <c r="L84" s="520"/>
      <c r="M84" s="556">
        <f t="shared" si="32"/>
        <v>0</v>
      </c>
      <c r="N84" s="661">
        <v>94212405</v>
      </c>
    </row>
    <row r="85" spans="1:14" ht="15" x14ac:dyDescent="0.25">
      <c r="A85" s="272"/>
      <c r="B85" s="469"/>
      <c r="C85" s="467"/>
      <c r="D85" s="468" t="s">
        <v>682</v>
      </c>
      <c r="E85" s="354">
        <v>498911280</v>
      </c>
      <c r="F85" s="354">
        <f t="shared" si="33"/>
        <v>-983040</v>
      </c>
      <c r="G85" s="354">
        <f t="shared" si="30"/>
        <v>497928240</v>
      </c>
      <c r="H85" s="354">
        <v>497928240</v>
      </c>
      <c r="I85" s="354">
        <f t="shared" si="34"/>
        <v>497928240</v>
      </c>
      <c r="J85" s="354">
        <f t="shared" si="35"/>
        <v>-983040</v>
      </c>
      <c r="L85" s="520"/>
      <c r="M85" s="556">
        <f t="shared" si="32"/>
        <v>0</v>
      </c>
      <c r="N85" s="661">
        <v>-983040</v>
      </c>
    </row>
    <row r="86" spans="1:14" ht="15" x14ac:dyDescent="0.25">
      <c r="A86" s="272"/>
      <c r="B86" s="469"/>
      <c r="C86" s="467"/>
      <c r="D86" s="468" t="s">
        <v>575</v>
      </c>
      <c r="E86" s="354">
        <v>1508388050</v>
      </c>
      <c r="F86" s="354">
        <f t="shared" si="33"/>
        <v>-1930332</v>
      </c>
      <c r="G86" s="354">
        <f t="shared" si="30"/>
        <v>1506457718</v>
      </c>
      <c r="H86" s="354">
        <v>1506457718</v>
      </c>
      <c r="I86" s="354">
        <f t="shared" si="34"/>
        <v>1506457718</v>
      </c>
      <c r="J86" s="354">
        <f t="shared" si="35"/>
        <v>-1930332</v>
      </c>
      <c r="L86" s="520"/>
      <c r="M86" s="556">
        <f t="shared" si="32"/>
        <v>0</v>
      </c>
      <c r="N86" s="661">
        <v>-1930332</v>
      </c>
    </row>
    <row r="87" spans="1:14" ht="15" x14ac:dyDescent="0.25">
      <c r="A87" s="272"/>
      <c r="B87" s="469"/>
      <c r="C87" s="467"/>
      <c r="D87" s="468" t="s">
        <v>576</v>
      </c>
      <c r="E87" s="354">
        <v>369550000</v>
      </c>
      <c r="F87" s="354">
        <f t="shared" si="33"/>
        <v>-221085112</v>
      </c>
      <c r="G87" s="354">
        <f t="shared" si="30"/>
        <v>148464888</v>
      </c>
      <c r="H87" s="354">
        <v>148464888</v>
      </c>
      <c r="I87" s="354">
        <f t="shared" si="34"/>
        <v>148464888</v>
      </c>
      <c r="J87" s="354">
        <f t="shared" si="35"/>
        <v>-221085112</v>
      </c>
      <c r="L87" s="520"/>
      <c r="M87" s="556">
        <f t="shared" si="32"/>
        <v>0</v>
      </c>
      <c r="N87" s="661">
        <v>-221085112</v>
      </c>
    </row>
    <row r="88" spans="1:14" ht="15" x14ac:dyDescent="0.25">
      <c r="A88" s="272"/>
      <c r="B88" s="469"/>
      <c r="C88" s="467"/>
      <c r="D88" s="468" t="s">
        <v>577</v>
      </c>
      <c r="E88" s="354"/>
      <c r="F88" s="354">
        <f t="shared" si="33"/>
        <v>78807899</v>
      </c>
      <c r="G88" s="354">
        <f t="shared" si="30"/>
        <v>78807899</v>
      </c>
      <c r="H88" s="354">
        <v>78807899</v>
      </c>
      <c r="I88" s="354">
        <f t="shared" si="34"/>
        <v>78807899</v>
      </c>
      <c r="J88" s="354">
        <f t="shared" si="35"/>
        <v>78807899</v>
      </c>
      <c r="L88" s="520"/>
      <c r="M88" s="556">
        <f t="shared" si="32"/>
        <v>0</v>
      </c>
      <c r="N88" s="661">
        <v>78807899</v>
      </c>
    </row>
    <row r="89" spans="1:14" ht="15" x14ac:dyDescent="0.25">
      <c r="A89" s="272"/>
      <c r="B89" s="469"/>
      <c r="C89" s="467"/>
      <c r="D89" s="468" t="s">
        <v>578</v>
      </c>
      <c r="E89" s="354"/>
      <c r="F89" s="354">
        <f t="shared" si="33"/>
        <v>133393765</v>
      </c>
      <c r="G89" s="354">
        <f t="shared" si="30"/>
        <v>133393765</v>
      </c>
      <c r="H89" s="354">
        <v>133393765</v>
      </c>
      <c r="I89" s="354">
        <f t="shared" si="34"/>
        <v>133393765</v>
      </c>
      <c r="J89" s="354">
        <f t="shared" si="35"/>
        <v>133393765</v>
      </c>
      <c r="L89" s="520"/>
      <c r="M89" s="556">
        <f t="shared" si="32"/>
        <v>0</v>
      </c>
      <c r="N89" s="661">
        <v>133393765</v>
      </c>
    </row>
    <row r="90" spans="1:14" ht="15" x14ac:dyDescent="0.25">
      <c r="A90" s="272"/>
      <c r="B90" s="559"/>
      <c r="C90" s="560"/>
      <c r="D90" s="561" t="s">
        <v>734</v>
      </c>
      <c r="E90" s="354"/>
      <c r="F90" s="354">
        <f t="shared" si="33"/>
        <v>120222168</v>
      </c>
      <c r="G90" s="354">
        <f t="shared" ref="G90" si="36">+E90+F90</f>
        <v>120222168</v>
      </c>
      <c r="H90" s="354">
        <v>120222168</v>
      </c>
      <c r="I90" s="354">
        <f t="shared" ref="I90" si="37">+H90</f>
        <v>120222168</v>
      </c>
      <c r="J90" s="354">
        <f t="shared" ref="J90" si="38">+I90-E90</f>
        <v>120222168</v>
      </c>
      <c r="L90" s="520"/>
      <c r="M90" s="556">
        <f t="shared" si="32"/>
        <v>0</v>
      </c>
      <c r="N90" s="661">
        <v>120222168</v>
      </c>
    </row>
    <row r="91" spans="1:14" ht="15" x14ac:dyDescent="0.25">
      <c r="A91" s="272"/>
      <c r="B91" s="469"/>
      <c r="C91" s="467"/>
      <c r="D91" s="468" t="s">
        <v>579</v>
      </c>
      <c r="E91" s="354">
        <v>248287700</v>
      </c>
      <c r="F91" s="354">
        <f t="shared" si="33"/>
        <v>4469232.1100000143</v>
      </c>
      <c r="G91" s="354">
        <f t="shared" si="30"/>
        <v>252756932.11000001</v>
      </c>
      <c r="H91" s="354">
        <v>252756932.11000001</v>
      </c>
      <c r="I91" s="354">
        <f t="shared" si="34"/>
        <v>252756932.11000001</v>
      </c>
      <c r="J91" s="354">
        <f t="shared" si="35"/>
        <v>4469232.1100000143</v>
      </c>
      <c r="L91" s="520"/>
      <c r="M91" s="556">
        <f t="shared" si="32"/>
        <v>0</v>
      </c>
      <c r="N91" s="661">
        <v>4469232.1100000143</v>
      </c>
    </row>
    <row r="92" spans="1:14" ht="15" x14ac:dyDescent="0.25">
      <c r="A92" s="272"/>
      <c r="B92" s="469"/>
      <c r="C92" s="467"/>
      <c r="D92" s="468" t="s">
        <v>580</v>
      </c>
      <c r="E92" s="354">
        <v>196443890</v>
      </c>
      <c r="F92" s="354">
        <f t="shared" si="33"/>
        <v>21429634</v>
      </c>
      <c r="G92" s="354">
        <f t="shared" si="30"/>
        <v>217873524</v>
      </c>
      <c r="H92" s="354">
        <v>217873524</v>
      </c>
      <c r="I92" s="354">
        <f t="shared" si="34"/>
        <v>217873524</v>
      </c>
      <c r="J92" s="354">
        <f t="shared" si="35"/>
        <v>21429634</v>
      </c>
      <c r="L92" s="520"/>
      <c r="M92" s="556">
        <f t="shared" si="32"/>
        <v>0</v>
      </c>
      <c r="N92" s="661">
        <v>21429634</v>
      </c>
    </row>
    <row r="93" spans="1:14" ht="15" x14ac:dyDescent="0.25">
      <c r="A93" s="272"/>
      <c r="B93" s="469"/>
      <c r="C93" s="467"/>
      <c r="D93" s="468" t="s">
        <v>581</v>
      </c>
      <c r="E93" s="354">
        <v>658688490</v>
      </c>
      <c r="F93" s="354">
        <f t="shared" si="33"/>
        <v>-4363371</v>
      </c>
      <c r="G93" s="354">
        <f t="shared" si="30"/>
        <v>654325119</v>
      </c>
      <c r="H93" s="354">
        <v>654325119</v>
      </c>
      <c r="I93" s="354">
        <f t="shared" si="34"/>
        <v>654325119</v>
      </c>
      <c r="J93" s="354">
        <f t="shared" si="35"/>
        <v>-4363371</v>
      </c>
      <c r="L93" s="520"/>
      <c r="M93" s="556">
        <f t="shared" si="32"/>
        <v>0</v>
      </c>
      <c r="N93" s="661">
        <v>-4363371</v>
      </c>
    </row>
    <row r="94" spans="1:14" ht="15" x14ac:dyDescent="0.25">
      <c r="A94" s="272"/>
      <c r="B94" s="469"/>
      <c r="C94" s="478" t="s">
        <v>113</v>
      </c>
      <c r="D94" s="468"/>
      <c r="E94" s="354"/>
      <c r="F94" s="358"/>
      <c r="G94" s="354"/>
      <c r="H94" s="354"/>
      <c r="I94" s="358"/>
      <c r="J94" s="354"/>
      <c r="L94" s="520"/>
      <c r="M94" s="556">
        <f t="shared" si="32"/>
        <v>0</v>
      </c>
      <c r="N94" s="661">
        <v>0</v>
      </c>
    </row>
    <row r="95" spans="1:14" ht="15" x14ac:dyDescent="0.25">
      <c r="A95" s="272"/>
      <c r="B95" s="469"/>
      <c r="C95" s="467"/>
      <c r="D95" s="468" t="s">
        <v>582</v>
      </c>
      <c r="E95" s="354">
        <v>7096371000</v>
      </c>
      <c r="F95" s="354">
        <f t="shared" ref="F95" si="39">+N95</f>
        <v>-192101896.14999771</v>
      </c>
      <c r="G95" s="354">
        <f>+E95+F95</f>
        <v>6904269103.8500023</v>
      </c>
      <c r="H95" s="354">
        <f>SUM(H97:H239)</f>
        <v>6904269103.8500023</v>
      </c>
      <c r="I95" s="354">
        <f t="shared" ref="I95" si="40">+H95</f>
        <v>6904269103.8500023</v>
      </c>
      <c r="J95" s="354">
        <f>+I95-E95</f>
        <v>-192101896.14999771</v>
      </c>
      <c r="L95" s="520"/>
      <c r="M95" s="556">
        <f t="shared" si="32"/>
        <v>0</v>
      </c>
      <c r="N95" s="661">
        <v>-192101896.14999771</v>
      </c>
    </row>
    <row r="96" spans="1:14" ht="15" x14ac:dyDescent="0.25">
      <c r="A96" s="272"/>
      <c r="B96" s="469"/>
      <c r="C96" s="467"/>
      <c r="D96" s="468"/>
      <c r="E96" s="354"/>
      <c r="F96" s="358"/>
      <c r="G96" s="354"/>
      <c r="H96" s="354"/>
      <c r="I96" s="358"/>
      <c r="J96" s="354"/>
      <c r="L96" s="520"/>
      <c r="M96" s="556">
        <f t="shared" si="32"/>
        <v>0</v>
      </c>
      <c r="N96" s="661">
        <v>0</v>
      </c>
    </row>
    <row r="97" spans="1:14" ht="22.5" x14ac:dyDescent="0.25">
      <c r="A97" s="272"/>
      <c r="B97" s="469"/>
      <c r="C97" s="467"/>
      <c r="D97" s="481" t="s">
        <v>683</v>
      </c>
      <c r="E97" s="354"/>
      <c r="F97" s="358"/>
      <c r="G97" s="354"/>
      <c r="H97" s="354">
        <v>25007273.399999999</v>
      </c>
      <c r="I97" s="354">
        <f t="shared" ref="I97:I160" si="41">+H97</f>
        <v>25007273.399999999</v>
      </c>
      <c r="J97" s="354"/>
      <c r="L97" s="520"/>
      <c r="M97" s="556">
        <f t="shared" si="32"/>
        <v>25007273.399999999</v>
      </c>
      <c r="N97" s="661">
        <v>25007273.399999999</v>
      </c>
    </row>
    <row r="98" spans="1:14" ht="15" x14ac:dyDescent="0.25">
      <c r="A98" s="272"/>
      <c r="B98" s="487"/>
      <c r="C98" s="485"/>
      <c r="D98" s="481" t="s">
        <v>735</v>
      </c>
      <c r="E98" s="354"/>
      <c r="F98" s="358"/>
      <c r="G98" s="354"/>
      <c r="H98" s="354">
        <v>30000000</v>
      </c>
      <c r="I98" s="354">
        <f t="shared" si="41"/>
        <v>30000000</v>
      </c>
      <c r="J98" s="354"/>
      <c r="L98" s="520"/>
      <c r="M98" s="556">
        <f t="shared" si="32"/>
        <v>30000000</v>
      </c>
      <c r="N98" s="661">
        <v>30000000</v>
      </c>
    </row>
    <row r="99" spans="1:14" ht="15" x14ac:dyDescent="0.25">
      <c r="A99" s="272"/>
      <c r="B99" s="487"/>
      <c r="C99" s="485"/>
      <c r="D99" s="481" t="s">
        <v>583</v>
      </c>
      <c r="E99" s="354"/>
      <c r="F99" s="358"/>
      <c r="G99" s="354"/>
      <c r="H99" s="354">
        <v>367050530.63999999</v>
      </c>
      <c r="I99" s="354">
        <f t="shared" si="41"/>
        <v>367050530.63999999</v>
      </c>
      <c r="J99" s="354"/>
      <c r="L99" s="520"/>
      <c r="M99" s="556">
        <f t="shared" si="32"/>
        <v>367050530.63999999</v>
      </c>
      <c r="N99" s="661">
        <v>367050530.63999999</v>
      </c>
    </row>
    <row r="100" spans="1:14" ht="15" x14ac:dyDescent="0.25">
      <c r="A100" s="272"/>
      <c r="B100" s="487"/>
      <c r="C100" s="485"/>
      <c r="D100" s="481" t="s">
        <v>684</v>
      </c>
      <c r="E100" s="354"/>
      <c r="F100" s="358"/>
      <c r="G100" s="354"/>
      <c r="H100" s="354">
        <v>16282345.41</v>
      </c>
      <c r="I100" s="354">
        <f t="shared" si="41"/>
        <v>16282345.41</v>
      </c>
      <c r="J100" s="354"/>
      <c r="L100" s="520"/>
      <c r="M100" s="556">
        <f t="shared" si="32"/>
        <v>16282345.41</v>
      </c>
      <c r="N100" s="661">
        <v>16282345.41</v>
      </c>
    </row>
    <row r="101" spans="1:14" ht="22.5" x14ac:dyDescent="0.25">
      <c r="A101" s="272"/>
      <c r="B101" s="487"/>
      <c r="C101" s="485"/>
      <c r="D101" s="481" t="s">
        <v>685</v>
      </c>
      <c r="E101" s="354"/>
      <c r="F101" s="358"/>
      <c r="G101" s="354"/>
      <c r="H101" s="354">
        <v>297192</v>
      </c>
      <c r="I101" s="354">
        <f t="shared" si="41"/>
        <v>297192</v>
      </c>
      <c r="J101" s="354"/>
      <c r="L101" s="520"/>
      <c r="M101" s="556">
        <f t="shared" si="32"/>
        <v>297192</v>
      </c>
      <c r="N101" s="661">
        <v>297192</v>
      </c>
    </row>
    <row r="102" spans="1:14" ht="22.5" x14ac:dyDescent="0.25">
      <c r="A102" s="272"/>
      <c r="B102" s="487"/>
      <c r="C102" s="485"/>
      <c r="D102" s="481" t="s">
        <v>726</v>
      </c>
      <c r="E102" s="354"/>
      <c r="F102" s="358"/>
      <c r="G102" s="354"/>
      <c r="H102" s="354">
        <v>275000</v>
      </c>
      <c r="I102" s="354">
        <f t="shared" si="41"/>
        <v>275000</v>
      </c>
      <c r="J102" s="354"/>
      <c r="L102" s="520"/>
      <c r="M102" s="556">
        <f t="shared" si="32"/>
        <v>275000</v>
      </c>
      <c r="N102" s="661">
        <v>275000</v>
      </c>
    </row>
    <row r="103" spans="1:14" ht="22.5" x14ac:dyDescent="0.25">
      <c r="A103" s="272"/>
      <c r="B103" s="487"/>
      <c r="C103" s="485"/>
      <c r="D103" s="481" t="s">
        <v>736</v>
      </c>
      <c r="E103" s="354"/>
      <c r="F103" s="358"/>
      <c r="G103" s="354"/>
      <c r="H103" s="354">
        <v>1827090</v>
      </c>
      <c r="I103" s="354">
        <f t="shared" si="41"/>
        <v>1827090</v>
      </c>
      <c r="J103" s="354"/>
      <c r="L103" s="520"/>
      <c r="M103" s="556">
        <f t="shared" si="32"/>
        <v>1827090</v>
      </c>
      <c r="N103" s="661">
        <v>1827090</v>
      </c>
    </row>
    <row r="104" spans="1:14" ht="22.5" x14ac:dyDescent="0.25">
      <c r="A104" s="272"/>
      <c r="B104" s="487"/>
      <c r="C104" s="485"/>
      <c r="D104" s="481" t="s">
        <v>796</v>
      </c>
      <c r="E104" s="354"/>
      <c r="F104" s="358"/>
      <c r="G104" s="354"/>
      <c r="H104" s="354">
        <v>3749267</v>
      </c>
      <c r="I104" s="354">
        <f t="shared" si="41"/>
        <v>3749267</v>
      </c>
      <c r="J104" s="354"/>
      <c r="L104" s="520"/>
      <c r="M104" s="556">
        <f t="shared" si="32"/>
        <v>3749267</v>
      </c>
      <c r="N104" s="661">
        <v>3749267</v>
      </c>
    </row>
    <row r="105" spans="1:14" ht="22.5" x14ac:dyDescent="0.25">
      <c r="A105" s="272"/>
      <c r="B105" s="487"/>
      <c r="C105" s="485"/>
      <c r="D105" s="481" t="s">
        <v>797</v>
      </c>
      <c r="E105" s="354"/>
      <c r="F105" s="358"/>
      <c r="G105" s="354"/>
      <c r="H105" s="354">
        <v>30996664</v>
      </c>
      <c r="I105" s="354">
        <f t="shared" si="41"/>
        <v>30996664</v>
      </c>
      <c r="J105" s="354"/>
      <c r="L105" s="520"/>
      <c r="M105" s="556">
        <f t="shared" si="32"/>
        <v>30996664</v>
      </c>
      <c r="N105" s="661">
        <v>30996664</v>
      </c>
    </row>
    <row r="106" spans="1:14" ht="22.5" x14ac:dyDescent="0.25">
      <c r="A106" s="272"/>
      <c r="B106" s="487"/>
      <c r="C106" s="485"/>
      <c r="D106" s="481" t="s">
        <v>798</v>
      </c>
      <c r="E106" s="354"/>
      <c r="F106" s="358"/>
      <c r="G106" s="354"/>
      <c r="H106" s="354">
        <v>17500000</v>
      </c>
      <c r="I106" s="354">
        <f t="shared" si="41"/>
        <v>17500000</v>
      </c>
      <c r="J106" s="354"/>
      <c r="L106" s="520"/>
      <c r="M106" s="556">
        <f t="shared" si="32"/>
        <v>17500000</v>
      </c>
      <c r="N106" s="661">
        <v>17500000</v>
      </c>
    </row>
    <row r="107" spans="1:14" ht="22.5" x14ac:dyDescent="0.25">
      <c r="A107" s="272"/>
      <c r="B107" s="487"/>
      <c r="C107" s="485"/>
      <c r="D107" s="481" t="s">
        <v>799</v>
      </c>
      <c r="E107" s="354"/>
      <c r="F107" s="358"/>
      <c r="G107" s="354"/>
      <c r="H107" s="354">
        <v>20800000</v>
      </c>
      <c r="I107" s="354">
        <f t="shared" si="41"/>
        <v>20800000</v>
      </c>
      <c r="J107" s="354"/>
      <c r="L107" s="520"/>
      <c r="M107" s="556">
        <f t="shared" si="32"/>
        <v>20800000</v>
      </c>
      <c r="N107" s="661">
        <v>20800000</v>
      </c>
    </row>
    <row r="108" spans="1:14" ht="22.5" x14ac:dyDescent="0.25">
      <c r="A108" s="272"/>
      <c r="B108" s="487"/>
      <c r="C108" s="485"/>
      <c r="D108" s="481" t="s">
        <v>800</v>
      </c>
      <c r="E108" s="354"/>
      <c r="F108" s="358"/>
      <c r="G108" s="354"/>
      <c r="H108" s="354">
        <v>31200000</v>
      </c>
      <c r="I108" s="354">
        <f t="shared" si="41"/>
        <v>31200000</v>
      </c>
      <c r="J108" s="354"/>
      <c r="L108" s="520"/>
      <c r="M108" s="556">
        <f t="shared" si="32"/>
        <v>31200000</v>
      </c>
      <c r="N108" s="661">
        <v>31200000</v>
      </c>
    </row>
    <row r="109" spans="1:14" ht="22.5" x14ac:dyDescent="0.25">
      <c r="A109" s="272"/>
      <c r="B109" s="487"/>
      <c r="C109" s="485"/>
      <c r="D109" s="481" t="s">
        <v>801</v>
      </c>
      <c r="E109" s="354"/>
      <c r="F109" s="358"/>
      <c r="G109" s="354"/>
      <c r="H109" s="354">
        <v>37542716.640000001</v>
      </c>
      <c r="I109" s="354">
        <f t="shared" si="41"/>
        <v>37542716.640000001</v>
      </c>
      <c r="J109" s="354"/>
      <c r="L109" s="520"/>
      <c r="M109" s="556">
        <f t="shared" si="32"/>
        <v>37542716.640000001</v>
      </c>
      <c r="N109" s="661">
        <v>37542716.640000001</v>
      </c>
    </row>
    <row r="110" spans="1:14" ht="15" x14ac:dyDescent="0.25">
      <c r="A110" s="272"/>
      <c r="B110" s="487"/>
      <c r="C110" s="485"/>
      <c r="D110" s="481" t="s">
        <v>584</v>
      </c>
      <c r="E110" s="354"/>
      <c r="F110" s="358"/>
      <c r="G110" s="354"/>
      <c r="H110" s="354">
        <v>27078271.25</v>
      </c>
      <c r="I110" s="354">
        <f t="shared" si="41"/>
        <v>27078271.25</v>
      </c>
      <c r="J110" s="354"/>
      <c r="L110" s="520"/>
      <c r="M110" s="556">
        <f t="shared" si="32"/>
        <v>27078271.25</v>
      </c>
      <c r="N110" s="661">
        <v>27078271.25</v>
      </c>
    </row>
    <row r="111" spans="1:14" ht="15" x14ac:dyDescent="0.25">
      <c r="A111" s="272"/>
      <c r="B111" s="487"/>
      <c r="C111" s="485"/>
      <c r="D111" s="481" t="s">
        <v>737</v>
      </c>
      <c r="E111" s="354"/>
      <c r="F111" s="358"/>
      <c r="G111" s="354"/>
      <c r="H111" s="354">
        <v>42760935.579999998</v>
      </c>
      <c r="I111" s="354">
        <f t="shared" si="41"/>
        <v>42760935.579999998</v>
      </c>
      <c r="J111" s="354"/>
      <c r="L111" s="520"/>
      <c r="M111" s="556">
        <f t="shared" si="32"/>
        <v>42760935.579999998</v>
      </c>
      <c r="N111" s="661">
        <v>42760935.579999998</v>
      </c>
    </row>
    <row r="112" spans="1:14" ht="22.5" x14ac:dyDescent="0.25">
      <c r="A112" s="272"/>
      <c r="B112" s="487"/>
      <c r="C112" s="485"/>
      <c r="D112" s="481" t="s">
        <v>738</v>
      </c>
      <c r="E112" s="354"/>
      <c r="F112" s="358"/>
      <c r="G112" s="354"/>
      <c r="H112" s="354">
        <v>6068494</v>
      </c>
      <c r="I112" s="354">
        <f t="shared" si="41"/>
        <v>6068494</v>
      </c>
      <c r="J112" s="354"/>
      <c r="L112" s="520"/>
      <c r="M112" s="556">
        <f t="shared" si="32"/>
        <v>6068494</v>
      </c>
      <c r="N112" s="661">
        <v>6068494</v>
      </c>
    </row>
    <row r="113" spans="1:14" ht="15" x14ac:dyDescent="0.25">
      <c r="A113" s="272"/>
      <c r="B113" s="487"/>
      <c r="C113" s="485"/>
      <c r="D113" s="481" t="s">
        <v>585</v>
      </c>
      <c r="E113" s="354"/>
      <c r="F113" s="358"/>
      <c r="G113" s="354"/>
      <c r="H113" s="354">
        <v>313281.25</v>
      </c>
      <c r="I113" s="354">
        <f t="shared" si="41"/>
        <v>313281.25</v>
      </c>
      <c r="J113" s="354"/>
      <c r="L113" s="520"/>
      <c r="M113" s="556">
        <f t="shared" si="32"/>
        <v>313281.25</v>
      </c>
      <c r="N113" s="661">
        <v>313281.25</v>
      </c>
    </row>
    <row r="114" spans="1:14" ht="15" x14ac:dyDescent="0.25">
      <c r="A114" s="272"/>
      <c r="B114" s="487"/>
      <c r="C114" s="485"/>
      <c r="D114" s="481" t="s">
        <v>586</v>
      </c>
      <c r="E114" s="354"/>
      <c r="F114" s="358"/>
      <c r="G114" s="354"/>
      <c r="H114" s="354">
        <v>393299.05</v>
      </c>
      <c r="I114" s="354">
        <f t="shared" si="41"/>
        <v>393299.05</v>
      </c>
      <c r="J114" s="354"/>
      <c r="L114" s="520"/>
      <c r="M114" s="556">
        <f t="shared" si="32"/>
        <v>393299.05</v>
      </c>
      <c r="N114" s="661">
        <v>393299.05</v>
      </c>
    </row>
    <row r="115" spans="1:14" ht="15" x14ac:dyDescent="0.25">
      <c r="A115" s="272"/>
      <c r="B115" s="487"/>
      <c r="C115" s="485"/>
      <c r="D115" s="481" t="s">
        <v>658</v>
      </c>
      <c r="E115" s="354"/>
      <c r="F115" s="358"/>
      <c r="G115" s="354"/>
      <c r="H115" s="354">
        <v>3435957.9</v>
      </c>
      <c r="I115" s="354">
        <f t="shared" si="41"/>
        <v>3435957.9</v>
      </c>
      <c r="J115" s="354"/>
      <c r="L115" s="520"/>
      <c r="M115" s="556">
        <f t="shared" si="32"/>
        <v>3435957.9</v>
      </c>
      <c r="N115" s="661">
        <v>3435957.9</v>
      </c>
    </row>
    <row r="116" spans="1:14" ht="15" x14ac:dyDescent="0.25">
      <c r="A116" s="272"/>
      <c r="B116" s="487"/>
      <c r="C116" s="485"/>
      <c r="D116" s="481" t="s">
        <v>657</v>
      </c>
      <c r="E116" s="354"/>
      <c r="F116" s="358"/>
      <c r="G116" s="354"/>
      <c r="H116" s="354">
        <v>4564105.24</v>
      </c>
      <c r="I116" s="354">
        <f t="shared" si="41"/>
        <v>4564105.24</v>
      </c>
      <c r="J116" s="354"/>
      <c r="L116" s="520"/>
      <c r="M116" s="556">
        <f t="shared" si="32"/>
        <v>4564105.24</v>
      </c>
      <c r="N116" s="661">
        <v>4564105.24</v>
      </c>
    </row>
    <row r="117" spans="1:14" ht="22.5" x14ac:dyDescent="0.25">
      <c r="A117" s="272"/>
      <c r="B117" s="487"/>
      <c r="C117" s="485"/>
      <c r="D117" s="481" t="s">
        <v>587</v>
      </c>
      <c r="E117" s="354"/>
      <c r="F117" s="358"/>
      <c r="G117" s="354"/>
      <c r="H117" s="354">
        <v>18331029.75</v>
      </c>
      <c r="I117" s="354">
        <f t="shared" si="41"/>
        <v>18331029.75</v>
      </c>
      <c r="J117" s="354"/>
      <c r="L117" s="520"/>
      <c r="M117" s="556">
        <f t="shared" si="32"/>
        <v>18331029.75</v>
      </c>
      <c r="N117" s="661">
        <v>18331029.75</v>
      </c>
    </row>
    <row r="118" spans="1:14" ht="22.5" x14ac:dyDescent="0.25">
      <c r="A118" s="272"/>
      <c r="B118" s="487"/>
      <c r="C118" s="485"/>
      <c r="D118" s="481" t="s">
        <v>739</v>
      </c>
      <c r="E118" s="354"/>
      <c r="F118" s="358"/>
      <c r="G118" s="354"/>
      <c r="H118" s="354">
        <v>2500000</v>
      </c>
      <c r="I118" s="354">
        <f t="shared" si="41"/>
        <v>2500000</v>
      </c>
      <c r="J118" s="354"/>
      <c r="L118" s="520"/>
      <c r="M118" s="556">
        <f t="shared" si="32"/>
        <v>2500000</v>
      </c>
      <c r="N118" s="661">
        <v>2500000</v>
      </c>
    </row>
    <row r="119" spans="1:14" ht="15" x14ac:dyDescent="0.25">
      <c r="A119" s="272"/>
      <c r="B119" s="487"/>
      <c r="C119" s="485"/>
      <c r="D119" s="481" t="s">
        <v>647</v>
      </c>
      <c r="E119" s="354"/>
      <c r="F119" s="358"/>
      <c r="G119" s="354"/>
      <c r="H119" s="354">
        <v>3000000</v>
      </c>
      <c r="I119" s="354">
        <f t="shared" si="41"/>
        <v>3000000</v>
      </c>
      <c r="J119" s="354"/>
      <c r="L119" s="520"/>
      <c r="M119" s="556">
        <f t="shared" si="32"/>
        <v>3000000</v>
      </c>
      <c r="N119" s="661">
        <v>3000000</v>
      </c>
    </row>
    <row r="120" spans="1:14" ht="15" x14ac:dyDescent="0.25">
      <c r="A120" s="272"/>
      <c r="B120" s="487"/>
      <c r="C120" s="485"/>
      <c r="D120" s="481" t="s">
        <v>646</v>
      </c>
      <c r="E120" s="354"/>
      <c r="F120" s="358"/>
      <c r="G120" s="354"/>
      <c r="H120" s="354">
        <v>2000000</v>
      </c>
      <c r="I120" s="354">
        <f t="shared" si="41"/>
        <v>2000000</v>
      </c>
      <c r="J120" s="354"/>
      <c r="L120" s="520"/>
      <c r="M120" s="556">
        <f t="shared" si="32"/>
        <v>2000000</v>
      </c>
      <c r="N120" s="661">
        <v>2000000</v>
      </c>
    </row>
    <row r="121" spans="1:14" ht="15" x14ac:dyDescent="0.25">
      <c r="A121" s="272"/>
      <c r="B121" s="487"/>
      <c r="C121" s="485"/>
      <c r="D121" s="481" t="s">
        <v>645</v>
      </c>
      <c r="E121" s="354"/>
      <c r="F121" s="358"/>
      <c r="G121" s="354"/>
      <c r="H121" s="354">
        <v>1448652.28</v>
      </c>
      <c r="I121" s="354">
        <f t="shared" si="41"/>
        <v>1448652.28</v>
      </c>
      <c r="J121" s="354"/>
      <c r="L121" s="520"/>
      <c r="M121" s="556">
        <f t="shared" si="32"/>
        <v>1448652.28</v>
      </c>
      <c r="N121" s="661">
        <v>1448652.28</v>
      </c>
    </row>
    <row r="122" spans="1:14" ht="22.5" x14ac:dyDescent="0.25">
      <c r="A122" s="272"/>
      <c r="B122" s="487"/>
      <c r="C122" s="485"/>
      <c r="D122" s="481" t="s">
        <v>740</v>
      </c>
      <c r="E122" s="354"/>
      <c r="F122" s="358"/>
      <c r="G122" s="354"/>
      <c r="H122" s="354">
        <v>2000000</v>
      </c>
      <c r="I122" s="354">
        <f t="shared" si="41"/>
        <v>2000000</v>
      </c>
      <c r="J122" s="354"/>
      <c r="L122" s="520"/>
      <c r="M122" s="556">
        <f t="shared" si="32"/>
        <v>2000000</v>
      </c>
      <c r="N122" s="661">
        <v>2000000</v>
      </c>
    </row>
    <row r="123" spans="1:14" ht="15" x14ac:dyDescent="0.25">
      <c r="A123" s="272"/>
      <c r="B123" s="487"/>
      <c r="C123" s="485"/>
      <c r="D123" s="481" t="s">
        <v>686</v>
      </c>
      <c r="E123" s="354"/>
      <c r="F123" s="358"/>
      <c r="G123" s="354"/>
      <c r="H123" s="354">
        <v>34179025</v>
      </c>
      <c r="I123" s="354">
        <f t="shared" si="41"/>
        <v>34179025</v>
      </c>
      <c r="J123" s="354"/>
      <c r="L123" s="520"/>
      <c r="M123" s="556">
        <f t="shared" si="32"/>
        <v>34179025</v>
      </c>
      <c r="N123" s="661">
        <v>34179025</v>
      </c>
    </row>
    <row r="124" spans="1:14" ht="22.5" x14ac:dyDescent="0.25">
      <c r="A124" s="272"/>
      <c r="B124" s="487"/>
      <c r="C124" s="485"/>
      <c r="D124" s="481" t="s">
        <v>609</v>
      </c>
      <c r="E124" s="354"/>
      <c r="F124" s="358"/>
      <c r="G124" s="354"/>
      <c r="H124" s="354">
        <v>78834021.280000001</v>
      </c>
      <c r="I124" s="354">
        <f t="shared" si="41"/>
        <v>78834021.280000001</v>
      </c>
      <c r="J124" s="354"/>
      <c r="L124" s="520"/>
      <c r="M124" s="556">
        <f t="shared" si="32"/>
        <v>78834021.280000001</v>
      </c>
      <c r="N124" s="661">
        <v>78834021.280000001</v>
      </c>
    </row>
    <row r="125" spans="1:14" ht="22.5" x14ac:dyDescent="0.25">
      <c r="A125" s="272"/>
      <c r="B125" s="487"/>
      <c r="C125" s="485"/>
      <c r="D125" s="481" t="s">
        <v>701</v>
      </c>
      <c r="E125" s="354"/>
      <c r="F125" s="358"/>
      <c r="G125" s="354"/>
      <c r="H125" s="354">
        <v>1225000</v>
      </c>
      <c r="I125" s="354">
        <f t="shared" si="41"/>
        <v>1225000</v>
      </c>
      <c r="J125" s="354"/>
      <c r="L125" s="520"/>
      <c r="M125" s="556">
        <f t="shared" si="32"/>
        <v>1225000</v>
      </c>
      <c r="N125" s="661">
        <v>1225000</v>
      </c>
    </row>
    <row r="126" spans="1:14" ht="22.5" x14ac:dyDescent="0.25">
      <c r="A126" s="272"/>
      <c r="B126" s="487"/>
      <c r="C126" s="485"/>
      <c r="D126" s="481" t="s">
        <v>741</v>
      </c>
      <c r="E126" s="354"/>
      <c r="F126" s="358"/>
      <c r="G126" s="354"/>
      <c r="H126" s="354">
        <v>14297816.869999999</v>
      </c>
      <c r="I126" s="354">
        <f t="shared" si="41"/>
        <v>14297816.869999999</v>
      </c>
      <c r="J126" s="354"/>
      <c r="L126" s="520"/>
      <c r="M126" s="556">
        <f t="shared" si="32"/>
        <v>14297816.869999999</v>
      </c>
      <c r="N126" s="661">
        <v>14297816.869999999</v>
      </c>
    </row>
    <row r="127" spans="1:14" ht="15" x14ac:dyDescent="0.25">
      <c r="A127" s="272"/>
      <c r="B127" s="487"/>
      <c r="C127" s="485"/>
      <c r="D127" s="481" t="s">
        <v>687</v>
      </c>
      <c r="E127" s="354"/>
      <c r="F127" s="358"/>
      <c r="G127" s="354"/>
      <c r="H127" s="354">
        <v>1444010.81</v>
      </c>
      <c r="I127" s="354">
        <f t="shared" si="41"/>
        <v>1444010.81</v>
      </c>
      <c r="J127" s="354"/>
      <c r="L127" s="520"/>
      <c r="M127" s="556">
        <f t="shared" si="32"/>
        <v>1444010.81</v>
      </c>
      <c r="N127" s="661">
        <v>1444010.81</v>
      </c>
    </row>
    <row r="128" spans="1:14" ht="22.5" x14ac:dyDescent="0.25">
      <c r="A128" s="272"/>
      <c r="B128" s="487"/>
      <c r="C128" s="485"/>
      <c r="D128" s="481" t="s">
        <v>742</v>
      </c>
      <c r="E128" s="354"/>
      <c r="F128" s="358"/>
      <c r="G128" s="354"/>
      <c r="H128" s="354">
        <v>72007343.010000005</v>
      </c>
      <c r="I128" s="354">
        <f t="shared" si="41"/>
        <v>72007343.010000005</v>
      </c>
      <c r="J128" s="354"/>
      <c r="L128" s="520"/>
      <c r="M128" s="556">
        <f t="shared" si="32"/>
        <v>72007343.010000005</v>
      </c>
      <c r="N128" s="661">
        <v>72007343.010000005</v>
      </c>
    </row>
    <row r="129" spans="1:14" ht="22.5" x14ac:dyDescent="0.25">
      <c r="A129" s="272"/>
      <c r="B129" s="487"/>
      <c r="C129" s="485"/>
      <c r="D129" s="481" t="s">
        <v>743</v>
      </c>
      <c r="E129" s="354"/>
      <c r="F129" s="358"/>
      <c r="G129" s="354"/>
      <c r="H129" s="354">
        <v>29613583</v>
      </c>
      <c r="I129" s="354">
        <f t="shared" si="41"/>
        <v>29613583</v>
      </c>
      <c r="J129" s="354"/>
      <c r="L129" s="520"/>
      <c r="M129" s="556">
        <f t="shared" si="32"/>
        <v>29613583</v>
      </c>
      <c r="N129" s="661">
        <v>29613583</v>
      </c>
    </row>
    <row r="130" spans="1:14" ht="22.5" x14ac:dyDescent="0.25">
      <c r="A130" s="272"/>
      <c r="B130" s="487"/>
      <c r="C130" s="485"/>
      <c r="D130" s="481" t="s">
        <v>744</v>
      </c>
      <c r="E130" s="354"/>
      <c r="F130" s="358"/>
      <c r="G130" s="354"/>
      <c r="H130" s="354">
        <v>18738554</v>
      </c>
      <c r="I130" s="354">
        <f t="shared" si="41"/>
        <v>18738554</v>
      </c>
      <c r="J130" s="354"/>
      <c r="L130" s="520"/>
      <c r="M130" s="556">
        <f t="shared" si="32"/>
        <v>18738554</v>
      </c>
      <c r="N130" s="661">
        <v>18738554</v>
      </c>
    </row>
    <row r="131" spans="1:14" ht="15" x14ac:dyDescent="0.25">
      <c r="A131" s="272"/>
      <c r="B131" s="469"/>
      <c r="C131" s="467"/>
      <c r="D131" s="481" t="s">
        <v>625</v>
      </c>
      <c r="E131" s="354"/>
      <c r="F131" s="358"/>
      <c r="G131" s="354"/>
      <c r="H131" s="354">
        <v>7765500</v>
      </c>
      <c r="I131" s="354">
        <f t="shared" si="41"/>
        <v>7765500</v>
      </c>
      <c r="J131" s="354"/>
      <c r="L131" s="520"/>
      <c r="M131" s="556">
        <f t="shared" si="32"/>
        <v>7765500</v>
      </c>
      <c r="N131" s="661">
        <v>7765500</v>
      </c>
    </row>
    <row r="132" spans="1:14" ht="22.5" x14ac:dyDescent="0.25">
      <c r="A132" s="272"/>
      <c r="B132" s="469"/>
      <c r="C132" s="467"/>
      <c r="D132" s="481" t="s">
        <v>688</v>
      </c>
      <c r="E132" s="354"/>
      <c r="F132" s="358"/>
      <c r="G132" s="354"/>
      <c r="H132" s="354">
        <v>200000</v>
      </c>
      <c r="I132" s="354">
        <f t="shared" si="41"/>
        <v>200000</v>
      </c>
      <c r="J132" s="354"/>
      <c r="L132" s="520"/>
      <c r="M132" s="556">
        <f t="shared" si="32"/>
        <v>200000</v>
      </c>
      <c r="N132" s="661">
        <v>200000</v>
      </c>
    </row>
    <row r="133" spans="1:14" ht="22.5" x14ac:dyDescent="0.25">
      <c r="A133" s="272"/>
      <c r="B133" s="469"/>
      <c r="C133" s="467"/>
      <c r="D133" s="481" t="s">
        <v>689</v>
      </c>
      <c r="E133" s="354"/>
      <c r="F133" s="358"/>
      <c r="G133" s="354"/>
      <c r="H133" s="354">
        <v>175000</v>
      </c>
      <c r="I133" s="354">
        <f t="shared" si="41"/>
        <v>175000</v>
      </c>
      <c r="J133" s="354"/>
      <c r="L133" s="520"/>
      <c r="M133" s="556">
        <f t="shared" si="32"/>
        <v>175000</v>
      </c>
      <c r="N133" s="661">
        <v>175000</v>
      </c>
    </row>
    <row r="134" spans="1:14" ht="15" x14ac:dyDescent="0.25">
      <c r="A134" s="272"/>
      <c r="B134" s="469"/>
      <c r="C134" s="467"/>
      <c r="D134" s="481" t="s">
        <v>588</v>
      </c>
      <c r="E134" s="354"/>
      <c r="F134" s="358"/>
      <c r="G134" s="354"/>
      <c r="H134" s="354">
        <v>28198111.059999999</v>
      </c>
      <c r="I134" s="354">
        <f t="shared" si="41"/>
        <v>28198111.059999999</v>
      </c>
      <c r="J134" s="354"/>
      <c r="L134" s="520"/>
      <c r="M134" s="556">
        <f t="shared" si="32"/>
        <v>28198111.059999999</v>
      </c>
      <c r="N134" s="661">
        <v>28198111.059999999</v>
      </c>
    </row>
    <row r="135" spans="1:14" ht="22.5" x14ac:dyDescent="0.25">
      <c r="A135" s="272"/>
      <c r="B135" s="469"/>
      <c r="C135" s="467"/>
      <c r="D135" s="481" t="s">
        <v>589</v>
      </c>
      <c r="E135" s="354"/>
      <c r="F135" s="358"/>
      <c r="G135" s="354"/>
      <c r="H135" s="354">
        <v>61787068.289999999</v>
      </c>
      <c r="I135" s="354">
        <f t="shared" si="41"/>
        <v>61787068.289999999</v>
      </c>
      <c r="J135" s="354"/>
      <c r="L135" s="520"/>
      <c r="M135" s="556">
        <f t="shared" si="32"/>
        <v>61787068.289999999</v>
      </c>
      <c r="N135" s="661">
        <v>61787068.289999999</v>
      </c>
    </row>
    <row r="136" spans="1:14" ht="22.5" x14ac:dyDescent="0.25">
      <c r="A136" s="272"/>
      <c r="B136" s="469"/>
      <c r="C136" s="467"/>
      <c r="D136" s="481" t="s">
        <v>590</v>
      </c>
      <c r="E136" s="354"/>
      <c r="F136" s="358"/>
      <c r="G136" s="354"/>
      <c r="H136" s="354">
        <v>7675415</v>
      </c>
      <c r="I136" s="354">
        <f t="shared" si="41"/>
        <v>7675415</v>
      </c>
      <c r="J136" s="354"/>
      <c r="L136" s="520"/>
      <c r="M136" s="556">
        <f t="shared" si="32"/>
        <v>7675415</v>
      </c>
      <c r="N136" s="661">
        <v>7675415</v>
      </c>
    </row>
    <row r="137" spans="1:14" ht="22.5" x14ac:dyDescent="0.25">
      <c r="A137" s="272"/>
      <c r="B137" s="469"/>
      <c r="C137" s="467"/>
      <c r="D137" s="481" t="s">
        <v>591</v>
      </c>
      <c r="E137" s="354"/>
      <c r="F137" s="358"/>
      <c r="G137" s="354"/>
      <c r="H137" s="354">
        <v>312152553.74000001</v>
      </c>
      <c r="I137" s="354">
        <f t="shared" si="41"/>
        <v>312152553.74000001</v>
      </c>
      <c r="J137" s="354"/>
      <c r="L137" s="520"/>
      <c r="M137" s="556">
        <f t="shared" si="32"/>
        <v>312152553.74000001</v>
      </c>
      <c r="N137" s="661">
        <v>312152553.74000001</v>
      </c>
    </row>
    <row r="138" spans="1:14" ht="15" x14ac:dyDescent="0.25">
      <c r="A138" s="272"/>
      <c r="B138" s="469"/>
      <c r="C138" s="467"/>
      <c r="D138" s="481" t="s">
        <v>695</v>
      </c>
      <c r="E138" s="354"/>
      <c r="F138" s="358"/>
      <c r="G138" s="354"/>
      <c r="H138" s="354">
        <v>3233563.88</v>
      </c>
      <c r="I138" s="354">
        <f t="shared" si="41"/>
        <v>3233563.88</v>
      </c>
      <c r="J138" s="354"/>
      <c r="L138" s="520"/>
      <c r="M138" s="556">
        <f t="shared" si="32"/>
        <v>3233563.88</v>
      </c>
      <c r="N138" s="661">
        <v>3233563.88</v>
      </c>
    </row>
    <row r="139" spans="1:14" ht="22.5" x14ac:dyDescent="0.25">
      <c r="A139" s="272"/>
      <c r="B139" s="469"/>
      <c r="C139" s="467"/>
      <c r="D139" s="481" t="s">
        <v>619</v>
      </c>
      <c r="E139" s="354"/>
      <c r="F139" s="358"/>
      <c r="G139" s="354"/>
      <c r="H139" s="354">
        <v>2000000</v>
      </c>
      <c r="I139" s="354">
        <f t="shared" si="41"/>
        <v>2000000</v>
      </c>
      <c r="J139" s="354"/>
      <c r="L139" s="520"/>
      <c r="M139" s="556">
        <f t="shared" si="32"/>
        <v>2000000</v>
      </c>
      <c r="N139" s="661">
        <v>2000000</v>
      </c>
    </row>
    <row r="140" spans="1:14" ht="22.5" x14ac:dyDescent="0.25">
      <c r="A140" s="272"/>
      <c r="B140" s="469"/>
      <c r="C140" s="467"/>
      <c r="D140" s="481" t="s">
        <v>711</v>
      </c>
      <c r="E140" s="354"/>
      <c r="F140" s="358"/>
      <c r="G140" s="354"/>
      <c r="H140" s="354">
        <v>5422859.2000000002</v>
      </c>
      <c r="I140" s="354">
        <f t="shared" si="41"/>
        <v>5422859.2000000002</v>
      </c>
      <c r="J140" s="354"/>
      <c r="L140" s="520"/>
      <c r="M140" s="556">
        <f t="shared" si="32"/>
        <v>5422859.2000000002</v>
      </c>
      <c r="N140" s="661">
        <v>5422859.2000000002</v>
      </c>
    </row>
    <row r="141" spans="1:14" ht="15" x14ac:dyDescent="0.25">
      <c r="A141" s="272"/>
      <c r="B141" s="469"/>
      <c r="C141" s="467"/>
      <c r="D141" s="481" t="s">
        <v>745</v>
      </c>
      <c r="E141" s="354"/>
      <c r="F141" s="358"/>
      <c r="G141" s="354"/>
      <c r="H141" s="354">
        <v>278960</v>
      </c>
      <c r="I141" s="354">
        <f t="shared" si="41"/>
        <v>278960</v>
      </c>
      <c r="J141" s="354"/>
      <c r="L141" s="520"/>
      <c r="M141" s="556">
        <f t="shared" si="32"/>
        <v>278960</v>
      </c>
      <c r="N141" s="661">
        <v>278960</v>
      </c>
    </row>
    <row r="142" spans="1:14" ht="22.5" x14ac:dyDescent="0.25">
      <c r="A142" s="272"/>
      <c r="B142" s="469"/>
      <c r="C142" s="467"/>
      <c r="D142" s="481" t="s">
        <v>746</v>
      </c>
      <c r="E142" s="354"/>
      <c r="F142" s="358"/>
      <c r="G142" s="354"/>
      <c r="H142" s="354">
        <v>1325000</v>
      </c>
      <c r="I142" s="354">
        <f t="shared" si="41"/>
        <v>1325000</v>
      </c>
      <c r="J142" s="354"/>
      <c r="L142" s="520"/>
      <c r="M142" s="556">
        <f t="shared" si="32"/>
        <v>1325000</v>
      </c>
      <c r="N142" s="661">
        <v>1325000</v>
      </c>
    </row>
    <row r="143" spans="1:14" ht="15" x14ac:dyDescent="0.25">
      <c r="A143" s="272"/>
      <c r="B143" s="469"/>
      <c r="C143" s="467"/>
      <c r="D143" s="481" t="s">
        <v>747</v>
      </c>
      <c r="E143" s="354"/>
      <c r="F143" s="358"/>
      <c r="G143" s="354"/>
      <c r="H143" s="354">
        <v>59734843.359999999</v>
      </c>
      <c r="I143" s="354">
        <f t="shared" si="41"/>
        <v>59734843.359999999</v>
      </c>
      <c r="J143" s="354"/>
      <c r="L143" s="520"/>
      <c r="M143" s="556">
        <f t="shared" si="32"/>
        <v>59734843.359999999</v>
      </c>
      <c r="N143" s="661">
        <v>59734843.359999999</v>
      </c>
    </row>
    <row r="144" spans="1:14" ht="15" x14ac:dyDescent="0.25">
      <c r="A144" s="272"/>
      <c r="B144" s="469"/>
      <c r="C144" s="467"/>
      <c r="D144" s="481" t="s">
        <v>640</v>
      </c>
      <c r="E144" s="354"/>
      <c r="F144" s="358"/>
      <c r="G144" s="354"/>
      <c r="H144" s="354">
        <v>47787874.289999999</v>
      </c>
      <c r="I144" s="354">
        <f t="shared" si="41"/>
        <v>47787874.289999999</v>
      </c>
      <c r="J144" s="354"/>
      <c r="L144" s="520"/>
      <c r="M144" s="556">
        <f t="shared" si="32"/>
        <v>47787874.289999999</v>
      </c>
      <c r="N144" s="661">
        <v>47787874.289999999</v>
      </c>
    </row>
    <row r="145" spans="1:14" ht="15" x14ac:dyDescent="0.25">
      <c r="A145" s="272"/>
      <c r="B145" s="469"/>
      <c r="C145" s="467"/>
      <c r="D145" s="481" t="s">
        <v>641</v>
      </c>
      <c r="E145" s="354"/>
      <c r="F145" s="358"/>
      <c r="G145" s="354"/>
      <c r="H145" s="354">
        <v>311291193.20999998</v>
      </c>
      <c r="I145" s="354">
        <f t="shared" si="41"/>
        <v>311291193.20999998</v>
      </c>
      <c r="J145" s="354"/>
      <c r="L145" s="520"/>
      <c r="M145" s="556">
        <f t="shared" si="32"/>
        <v>311291193.20999998</v>
      </c>
      <c r="N145" s="661">
        <v>311291193.20999998</v>
      </c>
    </row>
    <row r="146" spans="1:14" ht="15" x14ac:dyDescent="0.25">
      <c r="A146" s="272"/>
      <c r="B146" s="469"/>
      <c r="C146" s="467"/>
      <c r="D146" s="481" t="s">
        <v>642</v>
      </c>
      <c r="E146" s="354"/>
      <c r="F146" s="358"/>
      <c r="G146" s="354"/>
      <c r="H146" s="354">
        <v>119469686.72</v>
      </c>
      <c r="I146" s="354">
        <f t="shared" si="41"/>
        <v>119469686.72</v>
      </c>
      <c r="J146" s="354"/>
      <c r="L146" s="520"/>
      <c r="M146" s="556">
        <f t="shared" ref="M146:M168" si="42">+H146-G146</f>
        <v>119469686.72</v>
      </c>
      <c r="N146" s="661">
        <v>119469686.72</v>
      </c>
    </row>
    <row r="147" spans="1:14" ht="22.5" x14ac:dyDescent="0.25">
      <c r="A147" s="272"/>
      <c r="B147" s="469"/>
      <c r="C147" s="467"/>
      <c r="D147" s="481" t="s">
        <v>690</v>
      </c>
      <c r="E147" s="354"/>
      <c r="F147" s="358"/>
      <c r="G147" s="354"/>
      <c r="H147" s="354">
        <v>586250</v>
      </c>
      <c r="I147" s="354">
        <f t="shared" si="41"/>
        <v>586250</v>
      </c>
      <c r="J147" s="354"/>
      <c r="L147" s="520"/>
      <c r="M147" s="556">
        <f t="shared" si="42"/>
        <v>586250</v>
      </c>
      <c r="N147" s="661">
        <v>586250</v>
      </c>
    </row>
    <row r="148" spans="1:14" ht="15" x14ac:dyDescent="0.25">
      <c r="A148" s="272"/>
      <c r="B148" s="469"/>
      <c r="C148" s="467"/>
      <c r="D148" s="481" t="s">
        <v>623</v>
      </c>
      <c r="E148" s="354"/>
      <c r="F148" s="358"/>
      <c r="G148" s="354"/>
      <c r="H148" s="354">
        <v>2300000</v>
      </c>
      <c r="I148" s="354">
        <f t="shared" si="41"/>
        <v>2300000</v>
      </c>
      <c r="J148" s="354"/>
      <c r="L148" s="520"/>
      <c r="M148" s="556">
        <f t="shared" si="42"/>
        <v>2300000</v>
      </c>
      <c r="N148" s="661">
        <v>2300000</v>
      </c>
    </row>
    <row r="149" spans="1:14" ht="15" x14ac:dyDescent="0.25">
      <c r="A149" s="272"/>
      <c r="B149" s="469"/>
      <c r="C149" s="467"/>
      <c r="D149" s="481" t="s">
        <v>802</v>
      </c>
      <c r="E149" s="354"/>
      <c r="F149" s="358"/>
      <c r="G149" s="354"/>
      <c r="H149" s="354">
        <v>1000000</v>
      </c>
      <c r="I149" s="354">
        <f t="shared" si="41"/>
        <v>1000000</v>
      </c>
      <c r="J149" s="354"/>
      <c r="L149" s="520"/>
      <c r="M149" s="556">
        <f t="shared" si="42"/>
        <v>1000000</v>
      </c>
      <c r="N149" s="661">
        <v>1000000</v>
      </c>
    </row>
    <row r="150" spans="1:14" ht="22.5" x14ac:dyDescent="0.25">
      <c r="A150" s="272"/>
      <c r="B150" s="469"/>
      <c r="C150" s="467"/>
      <c r="D150" s="481" t="s">
        <v>691</v>
      </c>
      <c r="E150" s="354"/>
      <c r="F150" s="358"/>
      <c r="G150" s="354"/>
      <c r="H150" s="354">
        <v>7017619</v>
      </c>
      <c r="I150" s="354">
        <f t="shared" si="41"/>
        <v>7017619</v>
      </c>
      <c r="J150" s="354"/>
      <c r="L150" s="520"/>
      <c r="M150" s="556">
        <f t="shared" si="42"/>
        <v>7017619</v>
      </c>
      <c r="N150" s="661">
        <v>7017619</v>
      </c>
    </row>
    <row r="151" spans="1:14" ht="15" x14ac:dyDescent="0.25">
      <c r="A151" s="272"/>
      <c r="B151" s="469"/>
      <c r="C151" s="467"/>
      <c r="D151" s="481" t="s">
        <v>634</v>
      </c>
      <c r="E151" s="354"/>
      <c r="F151" s="358"/>
      <c r="G151" s="354"/>
      <c r="H151" s="354">
        <v>53801600</v>
      </c>
      <c r="I151" s="354">
        <f t="shared" si="41"/>
        <v>53801600</v>
      </c>
      <c r="J151" s="354"/>
      <c r="L151" s="520"/>
      <c r="M151" s="556">
        <f t="shared" si="42"/>
        <v>53801600</v>
      </c>
      <c r="N151" s="661">
        <v>53801600</v>
      </c>
    </row>
    <row r="152" spans="1:14" ht="15" x14ac:dyDescent="0.25">
      <c r="A152" s="272"/>
      <c r="B152" s="487"/>
      <c r="C152" s="485"/>
      <c r="D152" s="481" t="s">
        <v>713</v>
      </c>
      <c r="E152" s="354"/>
      <c r="F152" s="358"/>
      <c r="G152" s="354"/>
      <c r="H152" s="354">
        <v>3297554.77</v>
      </c>
      <c r="I152" s="354">
        <f t="shared" si="41"/>
        <v>3297554.77</v>
      </c>
      <c r="J152" s="354"/>
      <c r="L152" s="520"/>
      <c r="M152" s="556">
        <f t="shared" si="42"/>
        <v>3297554.77</v>
      </c>
      <c r="N152" s="661">
        <v>3297554.77</v>
      </c>
    </row>
    <row r="153" spans="1:14" ht="15" x14ac:dyDescent="0.25">
      <c r="A153" s="272"/>
      <c r="B153" s="487"/>
      <c r="C153" s="485"/>
      <c r="D153" s="481" t="s">
        <v>748</v>
      </c>
      <c r="E153" s="354"/>
      <c r="F153" s="358"/>
      <c r="G153" s="354"/>
      <c r="H153" s="354">
        <v>26697818.52</v>
      </c>
      <c r="I153" s="354">
        <f t="shared" si="41"/>
        <v>26697818.52</v>
      </c>
      <c r="J153" s="354"/>
      <c r="L153" s="520"/>
      <c r="M153" s="556">
        <f t="shared" si="42"/>
        <v>26697818.52</v>
      </c>
      <c r="N153" s="661">
        <v>26697818.52</v>
      </c>
    </row>
    <row r="154" spans="1:14" ht="15" x14ac:dyDescent="0.25">
      <c r="A154" s="272"/>
      <c r="B154" s="487"/>
      <c r="C154" s="485"/>
      <c r="D154" s="481" t="s">
        <v>749</v>
      </c>
      <c r="E154" s="354"/>
      <c r="F154" s="358"/>
      <c r="G154" s="354"/>
      <c r="H154" s="354">
        <v>227470000</v>
      </c>
      <c r="I154" s="354">
        <f t="shared" si="41"/>
        <v>227470000</v>
      </c>
      <c r="J154" s="354"/>
      <c r="L154" s="520"/>
      <c r="M154" s="556">
        <f t="shared" si="42"/>
        <v>227470000</v>
      </c>
      <c r="N154" s="661">
        <v>227470000</v>
      </c>
    </row>
    <row r="155" spans="1:14" ht="15" x14ac:dyDescent="0.25">
      <c r="A155" s="272"/>
      <c r="B155" s="487"/>
      <c r="C155" s="485"/>
      <c r="D155" s="481" t="s">
        <v>750</v>
      </c>
      <c r="E155" s="354"/>
      <c r="F155" s="358"/>
      <c r="G155" s="354"/>
      <c r="H155" s="354">
        <v>2587000</v>
      </c>
      <c r="I155" s="354">
        <f t="shared" si="41"/>
        <v>2587000</v>
      </c>
      <c r="J155" s="354"/>
      <c r="L155" s="520"/>
      <c r="M155" s="556">
        <f t="shared" si="42"/>
        <v>2587000</v>
      </c>
      <c r="N155" s="661">
        <v>2587000</v>
      </c>
    </row>
    <row r="156" spans="1:14" ht="22.5" x14ac:dyDescent="0.25">
      <c r="A156" s="272"/>
      <c r="B156" s="487"/>
      <c r="C156" s="485"/>
      <c r="D156" s="481" t="s">
        <v>803</v>
      </c>
      <c r="E156" s="354"/>
      <c r="F156" s="358"/>
      <c r="G156" s="354"/>
      <c r="H156" s="354">
        <v>1750000</v>
      </c>
      <c r="I156" s="354">
        <f t="shared" si="41"/>
        <v>1750000</v>
      </c>
      <c r="J156" s="354"/>
      <c r="L156" s="520"/>
      <c r="M156" s="556">
        <f t="shared" si="42"/>
        <v>1750000</v>
      </c>
      <c r="N156" s="661">
        <v>1750000</v>
      </c>
    </row>
    <row r="157" spans="1:14" ht="15" x14ac:dyDescent="0.25">
      <c r="A157" s="272"/>
      <c r="B157" s="487"/>
      <c r="C157" s="485"/>
      <c r="D157" s="481" t="s">
        <v>804</v>
      </c>
      <c r="E157" s="354"/>
      <c r="F157" s="358"/>
      <c r="G157" s="354"/>
      <c r="H157" s="354">
        <v>58647700</v>
      </c>
      <c r="I157" s="354">
        <f t="shared" si="41"/>
        <v>58647700</v>
      </c>
      <c r="J157" s="354"/>
      <c r="L157" s="520"/>
      <c r="M157" s="556">
        <f t="shared" si="42"/>
        <v>58647700</v>
      </c>
      <c r="N157" s="661">
        <v>58647700</v>
      </c>
    </row>
    <row r="158" spans="1:14" ht="15" x14ac:dyDescent="0.25">
      <c r="A158" s="272"/>
      <c r="B158" s="487"/>
      <c r="C158" s="485"/>
      <c r="D158" s="481" t="s">
        <v>805</v>
      </c>
      <c r="E158" s="354"/>
      <c r="F158" s="358"/>
      <c r="G158" s="354"/>
      <c r="H158" s="354">
        <v>37569517.130000003</v>
      </c>
      <c r="I158" s="354">
        <f t="shared" si="41"/>
        <v>37569517.130000003</v>
      </c>
      <c r="J158" s="354"/>
      <c r="L158" s="520"/>
      <c r="M158" s="556">
        <f t="shared" si="42"/>
        <v>37569517.130000003</v>
      </c>
      <c r="N158" s="661">
        <v>37569517.130000003</v>
      </c>
    </row>
    <row r="159" spans="1:14" ht="15" x14ac:dyDescent="0.25">
      <c r="A159" s="272"/>
      <c r="B159" s="487"/>
      <c r="C159" s="485"/>
      <c r="D159" s="481" t="s">
        <v>592</v>
      </c>
      <c r="E159" s="354"/>
      <c r="F159" s="358"/>
      <c r="G159" s="354"/>
      <c r="H159" s="354">
        <v>1454405132.9400001</v>
      </c>
      <c r="I159" s="354">
        <f t="shared" si="41"/>
        <v>1454405132.9400001</v>
      </c>
      <c r="J159" s="354"/>
      <c r="L159" s="520"/>
      <c r="M159" s="556">
        <f t="shared" si="42"/>
        <v>1454405132.9400001</v>
      </c>
      <c r="N159" s="661">
        <v>1454405132.9400001</v>
      </c>
    </row>
    <row r="160" spans="1:14" ht="15" x14ac:dyDescent="0.25">
      <c r="A160" s="272"/>
      <c r="B160" s="487"/>
      <c r="C160" s="485"/>
      <c r="D160" s="481" t="s">
        <v>593</v>
      </c>
      <c r="E160" s="354"/>
      <c r="F160" s="358"/>
      <c r="G160" s="354"/>
      <c r="H160" s="354">
        <v>49390745.060000002</v>
      </c>
      <c r="I160" s="354">
        <f t="shared" si="41"/>
        <v>49390745.060000002</v>
      </c>
      <c r="J160" s="354"/>
      <c r="L160" s="520"/>
      <c r="M160" s="556">
        <f t="shared" si="42"/>
        <v>49390745.060000002</v>
      </c>
      <c r="N160" s="661">
        <v>49390745.060000002</v>
      </c>
    </row>
    <row r="161" spans="1:14" ht="15" x14ac:dyDescent="0.25">
      <c r="A161" s="272"/>
      <c r="B161" s="487"/>
      <c r="C161" s="485"/>
      <c r="D161" s="481" t="s">
        <v>594</v>
      </c>
      <c r="E161" s="354"/>
      <c r="F161" s="358"/>
      <c r="G161" s="354"/>
      <c r="H161" s="354">
        <v>4307581.8</v>
      </c>
      <c r="I161" s="354">
        <f t="shared" ref="I161:I224" si="43">+H161</f>
        <v>4307581.8</v>
      </c>
      <c r="J161" s="354"/>
      <c r="L161" s="520"/>
      <c r="M161" s="556">
        <f t="shared" si="42"/>
        <v>4307581.8</v>
      </c>
      <c r="N161" s="661">
        <v>4307581.8</v>
      </c>
    </row>
    <row r="162" spans="1:14" ht="15" x14ac:dyDescent="0.25">
      <c r="A162" s="272"/>
      <c r="B162" s="487"/>
      <c r="C162" s="485"/>
      <c r="D162" s="481" t="s">
        <v>595</v>
      </c>
      <c r="E162" s="354"/>
      <c r="F162" s="358"/>
      <c r="G162" s="354"/>
      <c r="H162" s="354">
        <v>25000000</v>
      </c>
      <c r="I162" s="354">
        <f t="shared" si="43"/>
        <v>25000000</v>
      </c>
      <c r="J162" s="354"/>
      <c r="L162" s="520"/>
      <c r="M162" s="556">
        <f t="shared" si="42"/>
        <v>25000000</v>
      </c>
      <c r="N162" s="661">
        <v>25000000</v>
      </c>
    </row>
    <row r="163" spans="1:14" ht="15" x14ac:dyDescent="0.25">
      <c r="A163" s="272"/>
      <c r="B163" s="487"/>
      <c r="C163" s="485"/>
      <c r="D163" s="481" t="s">
        <v>596</v>
      </c>
      <c r="E163" s="354"/>
      <c r="F163" s="358"/>
      <c r="G163" s="354"/>
      <c r="H163" s="354">
        <v>6903532.71</v>
      </c>
      <c r="I163" s="354">
        <f t="shared" si="43"/>
        <v>6903532.71</v>
      </c>
      <c r="J163" s="354"/>
      <c r="L163" s="520"/>
      <c r="M163" s="556">
        <f t="shared" si="42"/>
        <v>6903532.71</v>
      </c>
      <c r="N163" s="661">
        <v>6903532.71</v>
      </c>
    </row>
    <row r="164" spans="1:14" ht="15" x14ac:dyDescent="0.25">
      <c r="A164" s="272"/>
      <c r="B164" s="487"/>
      <c r="C164" s="485"/>
      <c r="D164" s="481" t="s">
        <v>692</v>
      </c>
      <c r="E164" s="354"/>
      <c r="F164" s="358"/>
      <c r="G164" s="354"/>
      <c r="H164" s="354">
        <v>276800</v>
      </c>
      <c r="I164" s="354">
        <f t="shared" si="43"/>
        <v>276800</v>
      </c>
      <c r="J164" s="354"/>
      <c r="L164" s="520"/>
      <c r="M164" s="556">
        <f t="shared" si="42"/>
        <v>276800</v>
      </c>
      <c r="N164" s="661">
        <v>276800</v>
      </c>
    </row>
    <row r="165" spans="1:14" ht="15" x14ac:dyDescent="0.25">
      <c r="A165" s="272"/>
      <c r="B165" s="487"/>
      <c r="C165" s="485"/>
      <c r="D165" s="481" t="s">
        <v>597</v>
      </c>
      <c r="E165" s="354"/>
      <c r="F165" s="358"/>
      <c r="G165" s="354"/>
      <c r="H165" s="354">
        <v>2110383.96</v>
      </c>
      <c r="I165" s="354">
        <f t="shared" si="43"/>
        <v>2110383.96</v>
      </c>
      <c r="J165" s="354"/>
      <c r="L165" s="520"/>
      <c r="M165" s="556">
        <f t="shared" si="42"/>
        <v>2110383.96</v>
      </c>
      <c r="N165" s="661">
        <v>2110383.96</v>
      </c>
    </row>
    <row r="166" spans="1:14" ht="15" x14ac:dyDescent="0.25">
      <c r="A166" s="272"/>
      <c r="B166" s="487"/>
      <c r="C166" s="485"/>
      <c r="D166" s="481" t="s">
        <v>520</v>
      </c>
      <c r="E166" s="354"/>
      <c r="F166" s="358"/>
      <c r="G166" s="354"/>
      <c r="H166" s="354">
        <v>17429718.5</v>
      </c>
      <c r="I166" s="354">
        <f t="shared" si="43"/>
        <v>17429718.5</v>
      </c>
      <c r="J166" s="354"/>
      <c r="L166" s="520"/>
      <c r="M166" s="556">
        <f t="shared" si="42"/>
        <v>17429718.5</v>
      </c>
      <c r="N166" s="661">
        <v>17429718.5</v>
      </c>
    </row>
    <row r="167" spans="1:14" ht="15" x14ac:dyDescent="0.25">
      <c r="A167" s="272"/>
      <c r="B167" s="559"/>
      <c r="C167" s="560"/>
      <c r="D167" s="481" t="s">
        <v>598</v>
      </c>
      <c r="E167" s="354"/>
      <c r="F167" s="358"/>
      <c r="G167" s="354"/>
      <c r="H167" s="354">
        <v>2350000</v>
      </c>
      <c r="I167" s="354">
        <f t="shared" si="43"/>
        <v>2350000</v>
      </c>
      <c r="J167" s="354"/>
      <c r="L167" s="520"/>
      <c r="M167" s="556">
        <f t="shared" si="42"/>
        <v>2350000</v>
      </c>
      <c r="N167" s="661">
        <v>2350000</v>
      </c>
    </row>
    <row r="168" spans="1:14" ht="15" x14ac:dyDescent="0.25">
      <c r="A168" s="272"/>
      <c r="B168" s="559"/>
      <c r="C168" s="560"/>
      <c r="D168" s="481" t="s">
        <v>693</v>
      </c>
      <c r="E168" s="354"/>
      <c r="F168" s="358"/>
      <c r="G168" s="354"/>
      <c r="H168" s="354">
        <v>90363041.299999997</v>
      </c>
      <c r="I168" s="354">
        <f t="shared" si="43"/>
        <v>90363041.299999997</v>
      </c>
      <c r="J168" s="354"/>
      <c r="L168" s="520"/>
      <c r="M168" s="556">
        <f t="shared" si="42"/>
        <v>90363041.299999997</v>
      </c>
      <c r="N168" s="661">
        <v>90363041.299999997</v>
      </c>
    </row>
    <row r="169" spans="1:14" ht="22.5" x14ac:dyDescent="0.25">
      <c r="A169" s="272"/>
      <c r="B169" s="559"/>
      <c r="C169" s="560"/>
      <c r="D169" s="481" t="s">
        <v>599</v>
      </c>
      <c r="E169" s="354"/>
      <c r="F169" s="358"/>
      <c r="G169" s="354"/>
      <c r="H169" s="354">
        <v>1488000</v>
      </c>
      <c r="I169" s="354">
        <f t="shared" si="43"/>
        <v>1488000</v>
      </c>
      <c r="J169" s="354"/>
      <c r="L169" s="520"/>
    </row>
    <row r="170" spans="1:14" ht="15" x14ac:dyDescent="0.25">
      <c r="A170" s="272"/>
      <c r="B170" s="559"/>
      <c r="C170" s="560"/>
      <c r="D170" s="481" t="s">
        <v>600</v>
      </c>
      <c r="E170" s="354"/>
      <c r="F170" s="358"/>
      <c r="G170" s="354"/>
      <c r="H170" s="354">
        <v>1488000</v>
      </c>
      <c r="I170" s="354">
        <f t="shared" si="43"/>
        <v>1488000</v>
      </c>
      <c r="J170" s="354"/>
      <c r="L170" s="520"/>
    </row>
    <row r="171" spans="1:14" ht="15" x14ac:dyDescent="0.25">
      <c r="A171" s="272"/>
      <c r="B171" s="559"/>
      <c r="C171" s="560"/>
      <c r="D171" s="481" t="s">
        <v>600</v>
      </c>
      <c r="E171" s="354"/>
      <c r="F171" s="358"/>
      <c r="G171" s="354"/>
      <c r="H171" s="354">
        <v>1488000</v>
      </c>
      <c r="I171" s="354">
        <f t="shared" si="43"/>
        <v>1488000</v>
      </c>
      <c r="J171" s="354"/>
      <c r="L171" s="520"/>
    </row>
    <row r="172" spans="1:14" ht="15" x14ac:dyDescent="0.25">
      <c r="A172" s="272"/>
      <c r="B172" s="559"/>
      <c r="C172" s="560"/>
      <c r="D172" s="481" t="s">
        <v>600</v>
      </c>
      <c r="E172" s="354"/>
      <c r="F172" s="358"/>
      <c r="G172" s="354"/>
      <c r="H172" s="354">
        <v>1488000</v>
      </c>
      <c r="I172" s="354">
        <f t="shared" si="43"/>
        <v>1488000</v>
      </c>
      <c r="J172" s="354"/>
      <c r="L172" s="520"/>
    </row>
    <row r="173" spans="1:14" ht="15" x14ac:dyDescent="0.25">
      <c r="A173" s="272"/>
      <c r="B173" s="559"/>
      <c r="C173" s="560"/>
      <c r="D173" s="481" t="s">
        <v>694</v>
      </c>
      <c r="E173" s="354"/>
      <c r="F173" s="358"/>
      <c r="G173" s="354"/>
      <c r="H173" s="354">
        <v>1488000</v>
      </c>
      <c r="I173" s="354">
        <f t="shared" si="43"/>
        <v>1488000</v>
      </c>
      <c r="J173" s="354"/>
      <c r="L173" s="520"/>
    </row>
    <row r="174" spans="1:14" ht="15" x14ac:dyDescent="0.25">
      <c r="A174" s="272"/>
      <c r="B174" s="559"/>
      <c r="C174" s="560"/>
      <c r="D174" s="481" t="s">
        <v>601</v>
      </c>
      <c r="E174" s="354"/>
      <c r="F174" s="358"/>
      <c r="G174" s="354"/>
      <c r="H174" s="354">
        <v>10167351.359999999</v>
      </c>
      <c r="I174" s="354">
        <f t="shared" si="43"/>
        <v>10167351.359999999</v>
      </c>
      <c r="J174" s="354"/>
      <c r="L174" s="520"/>
    </row>
    <row r="175" spans="1:14" ht="15" x14ac:dyDescent="0.25">
      <c r="A175" s="272"/>
      <c r="B175" s="559"/>
      <c r="C175" s="560"/>
      <c r="D175" s="481" t="s">
        <v>601</v>
      </c>
      <c r="E175" s="354"/>
      <c r="F175" s="358"/>
      <c r="G175" s="354"/>
      <c r="H175" s="354">
        <v>82362.600000000006</v>
      </c>
      <c r="I175" s="354">
        <f t="shared" si="43"/>
        <v>82362.600000000006</v>
      </c>
      <c r="J175" s="354"/>
      <c r="L175" s="520"/>
    </row>
    <row r="176" spans="1:14" ht="15" x14ac:dyDescent="0.25">
      <c r="A176" s="272"/>
      <c r="B176" s="559"/>
      <c r="C176" s="560"/>
      <c r="D176" s="481" t="s">
        <v>601</v>
      </c>
      <c r="E176" s="354"/>
      <c r="F176" s="358"/>
      <c r="G176" s="354"/>
      <c r="H176" s="354">
        <v>14920515.84</v>
      </c>
      <c r="I176" s="354">
        <f t="shared" si="43"/>
        <v>14920515.84</v>
      </c>
      <c r="J176" s="354"/>
      <c r="L176" s="520"/>
    </row>
    <row r="177" spans="1:12" ht="15" x14ac:dyDescent="0.25">
      <c r="A177" s="272"/>
      <c r="B177" s="559"/>
      <c r="C177" s="560"/>
      <c r="D177" s="481" t="s">
        <v>806</v>
      </c>
      <c r="E177" s="354"/>
      <c r="F177" s="358"/>
      <c r="G177" s="354"/>
      <c r="H177" s="354">
        <v>3555381.36</v>
      </c>
      <c r="I177" s="354">
        <f t="shared" si="43"/>
        <v>3555381.36</v>
      </c>
      <c r="J177" s="354"/>
      <c r="L177" s="520"/>
    </row>
    <row r="178" spans="1:12" ht="15" x14ac:dyDescent="0.25">
      <c r="A178" s="272"/>
      <c r="B178" s="559"/>
      <c r="C178" s="560"/>
      <c r="D178" s="481" t="s">
        <v>602</v>
      </c>
      <c r="E178" s="354"/>
      <c r="F178" s="358"/>
      <c r="G178" s="354"/>
      <c r="H178" s="354">
        <v>3973517.4</v>
      </c>
      <c r="I178" s="354">
        <f t="shared" si="43"/>
        <v>3973517.4</v>
      </c>
      <c r="J178" s="354"/>
      <c r="L178" s="520"/>
    </row>
    <row r="179" spans="1:12" ht="15" x14ac:dyDescent="0.25">
      <c r="A179" s="272"/>
      <c r="B179" s="559"/>
      <c r="C179" s="560"/>
      <c r="D179" s="481" t="s">
        <v>602</v>
      </c>
      <c r="E179" s="354"/>
      <c r="F179" s="358"/>
      <c r="G179" s="354"/>
      <c r="H179" s="354">
        <v>997109.76000000001</v>
      </c>
      <c r="I179" s="354">
        <f t="shared" si="43"/>
        <v>997109.76000000001</v>
      </c>
      <c r="J179" s="354"/>
      <c r="L179" s="520"/>
    </row>
    <row r="180" spans="1:12" ht="15" x14ac:dyDescent="0.25">
      <c r="A180" s="272"/>
      <c r="B180" s="559"/>
      <c r="C180" s="560"/>
      <c r="D180" s="481" t="s">
        <v>602</v>
      </c>
      <c r="E180" s="354"/>
      <c r="F180" s="358"/>
      <c r="G180" s="354"/>
      <c r="H180" s="354">
        <v>5121525.4800000004</v>
      </c>
      <c r="I180" s="354">
        <f t="shared" si="43"/>
        <v>5121525.4800000004</v>
      </c>
      <c r="J180" s="354"/>
      <c r="L180" s="520"/>
    </row>
    <row r="181" spans="1:12" ht="15" x14ac:dyDescent="0.25">
      <c r="A181" s="272"/>
      <c r="B181" s="559"/>
      <c r="C181" s="560"/>
      <c r="D181" s="481" t="s">
        <v>602</v>
      </c>
      <c r="E181" s="354"/>
      <c r="F181" s="358"/>
      <c r="G181" s="354"/>
      <c r="H181" s="354">
        <v>4240325.8</v>
      </c>
      <c r="I181" s="354">
        <f t="shared" si="43"/>
        <v>4240325.8</v>
      </c>
      <c r="J181" s="354"/>
      <c r="L181" s="520"/>
    </row>
    <row r="182" spans="1:12" ht="15" x14ac:dyDescent="0.25">
      <c r="A182" s="272"/>
      <c r="B182" s="559"/>
      <c r="C182" s="560"/>
      <c r="D182" s="481" t="s">
        <v>602</v>
      </c>
      <c r="E182" s="354"/>
      <c r="F182" s="358"/>
      <c r="G182" s="354"/>
      <c r="H182" s="354">
        <v>84250.08</v>
      </c>
      <c r="I182" s="354">
        <f t="shared" si="43"/>
        <v>84250.08</v>
      </c>
      <c r="J182" s="354"/>
      <c r="L182" s="520"/>
    </row>
    <row r="183" spans="1:12" ht="15" x14ac:dyDescent="0.25">
      <c r="A183" s="272"/>
      <c r="B183" s="559"/>
      <c r="C183" s="560"/>
      <c r="D183" s="481" t="s">
        <v>602</v>
      </c>
      <c r="E183" s="354"/>
      <c r="F183" s="358"/>
      <c r="G183" s="354"/>
      <c r="H183" s="354">
        <v>288561.36</v>
      </c>
      <c r="I183" s="354">
        <f t="shared" si="43"/>
        <v>288561.36</v>
      </c>
      <c r="J183" s="354"/>
      <c r="L183" s="520"/>
    </row>
    <row r="184" spans="1:12" ht="15" x14ac:dyDescent="0.25">
      <c r="A184" s="272"/>
      <c r="B184" s="559"/>
      <c r="C184" s="560"/>
      <c r="D184" s="481" t="s">
        <v>603</v>
      </c>
      <c r="E184" s="354"/>
      <c r="F184" s="358"/>
      <c r="G184" s="354"/>
      <c r="H184" s="354">
        <v>9482004</v>
      </c>
      <c r="I184" s="354">
        <f t="shared" si="43"/>
        <v>9482004</v>
      </c>
      <c r="J184" s="354"/>
      <c r="L184" s="520"/>
    </row>
    <row r="185" spans="1:12" ht="15" x14ac:dyDescent="0.25">
      <c r="A185" s="272"/>
      <c r="B185" s="559"/>
      <c r="C185" s="560"/>
      <c r="D185" s="481" t="s">
        <v>602</v>
      </c>
      <c r="E185" s="354"/>
      <c r="F185" s="358"/>
      <c r="G185" s="354"/>
      <c r="H185" s="354">
        <v>31052650.440000001</v>
      </c>
      <c r="I185" s="354">
        <f t="shared" si="43"/>
        <v>31052650.440000001</v>
      </c>
      <c r="J185" s="354"/>
      <c r="L185" s="520"/>
    </row>
    <row r="186" spans="1:12" ht="15" x14ac:dyDescent="0.25">
      <c r="A186" s="272"/>
      <c r="B186" s="559"/>
      <c r="C186" s="560"/>
      <c r="D186" s="481" t="s">
        <v>807</v>
      </c>
      <c r="E186" s="354"/>
      <c r="F186" s="358"/>
      <c r="G186" s="354"/>
      <c r="H186" s="354">
        <v>46566083.729999997</v>
      </c>
      <c r="I186" s="354">
        <f t="shared" si="43"/>
        <v>46566083.729999997</v>
      </c>
      <c r="J186" s="354"/>
      <c r="L186" s="520"/>
    </row>
    <row r="187" spans="1:12" ht="15" x14ac:dyDescent="0.25">
      <c r="A187" s="272"/>
      <c r="B187" s="559"/>
      <c r="C187" s="560"/>
      <c r="D187" s="481" t="s">
        <v>604</v>
      </c>
      <c r="E187" s="354"/>
      <c r="F187" s="358"/>
      <c r="G187" s="354"/>
      <c r="H187" s="354">
        <v>580000</v>
      </c>
      <c r="I187" s="354">
        <f t="shared" si="43"/>
        <v>580000</v>
      </c>
      <c r="J187" s="354"/>
      <c r="L187" s="520"/>
    </row>
    <row r="188" spans="1:12" ht="15" x14ac:dyDescent="0.25">
      <c r="A188" s="272"/>
      <c r="B188" s="559"/>
      <c r="C188" s="560"/>
      <c r="D188" s="481" t="s">
        <v>605</v>
      </c>
      <c r="E188" s="354"/>
      <c r="F188" s="358"/>
      <c r="G188" s="354"/>
      <c r="H188" s="354">
        <v>847500</v>
      </c>
      <c r="I188" s="354">
        <f t="shared" si="43"/>
        <v>847500</v>
      </c>
      <c r="J188" s="354"/>
      <c r="L188" s="520"/>
    </row>
    <row r="189" spans="1:12" ht="15" x14ac:dyDescent="0.25">
      <c r="A189" s="272"/>
      <c r="B189" s="559"/>
      <c r="C189" s="560"/>
      <c r="D189" s="481" t="s">
        <v>606</v>
      </c>
      <c r="E189" s="354"/>
      <c r="F189" s="358"/>
      <c r="G189" s="354"/>
      <c r="H189" s="354">
        <v>8844444.4299999997</v>
      </c>
      <c r="I189" s="354">
        <f t="shared" si="43"/>
        <v>8844444.4299999997</v>
      </c>
      <c r="J189" s="354"/>
      <c r="L189" s="520"/>
    </row>
    <row r="190" spans="1:12" ht="15" x14ac:dyDescent="0.25">
      <c r="A190" s="272"/>
      <c r="B190" s="559"/>
      <c r="C190" s="560"/>
      <c r="D190" s="481" t="s">
        <v>695</v>
      </c>
      <c r="E190" s="354"/>
      <c r="F190" s="358"/>
      <c r="G190" s="354"/>
      <c r="H190" s="354">
        <v>4311802.8600000003</v>
      </c>
      <c r="I190" s="354">
        <f t="shared" si="43"/>
        <v>4311802.8600000003</v>
      </c>
      <c r="J190" s="354"/>
      <c r="L190" s="520"/>
    </row>
    <row r="191" spans="1:12" ht="15" x14ac:dyDescent="0.25">
      <c r="A191" s="272"/>
      <c r="B191" s="559"/>
      <c r="C191" s="560"/>
      <c r="D191" s="481" t="s">
        <v>607</v>
      </c>
      <c r="E191" s="354"/>
      <c r="F191" s="358"/>
      <c r="G191" s="354"/>
      <c r="H191" s="354">
        <v>275000000</v>
      </c>
      <c r="I191" s="354">
        <f t="shared" si="43"/>
        <v>275000000</v>
      </c>
      <c r="J191" s="354"/>
      <c r="L191" s="520"/>
    </row>
    <row r="192" spans="1:12" ht="15" x14ac:dyDescent="0.25">
      <c r="A192" s="272"/>
      <c r="B192" s="559"/>
      <c r="C192" s="560"/>
      <c r="D192" s="481" t="s">
        <v>696</v>
      </c>
      <c r="E192" s="354"/>
      <c r="F192" s="358"/>
      <c r="G192" s="354"/>
      <c r="H192" s="354">
        <v>21595626</v>
      </c>
      <c r="I192" s="354">
        <f t="shared" si="43"/>
        <v>21595626</v>
      </c>
      <c r="J192" s="354"/>
      <c r="L192" s="520"/>
    </row>
    <row r="193" spans="1:12" ht="15" x14ac:dyDescent="0.25">
      <c r="A193" s="272"/>
      <c r="B193" s="559"/>
      <c r="C193" s="560"/>
      <c r="D193" s="481" t="s">
        <v>652</v>
      </c>
      <c r="E193" s="354"/>
      <c r="F193" s="358"/>
      <c r="G193" s="354"/>
      <c r="H193" s="354">
        <v>767986.07</v>
      </c>
      <c r="I193" s="354">
        <f t="shared" si="43"/>
        <v>767986.07</v>
      </c>
      <c r="J193" s="354"/>
      <c r="L193" s="520"/>
    </row>
    <row r="194" spans="1:12" ht="15" x14ac:dyDescent="0.25">
      <c r="A194" s="272"/>
      <c r="B194" s="559"/>
      <c r="C194" s="560"/>
      <c r="D194" s="481" t="s">
        <v>608</v>
      </c>
      <c r="E194" s="354"/>
      <c r="F194" s="358"/>
      <c r="G194" s="354"/>
      <c r="H194" s="354">
        <v>231317205.06</v>
      </c>
      <c r="I194" s="354">
        <f t="shared" si="43"/>
        <v>231317205.06</v>
      </c>
      <c r="J194" s="354"/>
      <c r="L194" s="520"/>
    </row>
    <row r="195" spans="1:12" ht="15" x14ac:dyDescent="0.25">
      <c r="A195" s="272"/>
      <c r="B195" s="559"/>
      <c r="C195" s="560"/>
      <c r="D195" s="481" t="s">
        <v>656</v>
      </c>
      <c r="E195" s="354"/>
      <c r="F195" s="358"/>
      <c r="G195" s="354"/>
      <c r="H195" s="354">
        <v>2574871.39</v>
      </c>
      <c r="I195" s="354">
        <f t="shared" si="43"/>
        <v>2574871.39</v>
      </c>
      <c r="J195" s="354"/>
      <c r="L195" s="520"/>
    </row>
    <row r="196" spans="1:12" ht="15" x14ac:dyDescent="0.25">
      <c r="A196" s="272"/>
      <c r="B196" s="559"/>
      <c r="C196" s="560"/>
      <c r="D196" s="481" t="s">
        <v>653</v>
      </c>
      <c r="E196" s="354"/>
      <c r="F196" s="358"/>
      <c r="G196" s="354"/>
      <c r="H196" s="354">
        <v>29942537</v>
      </c>
      <c r="I196" s="354">
        <f t="shared" si="43"/>
        <v>29942537</v>
      </c>
      <c r="J196" s="354"/>
      <c r="L196" s="520"/>
    </row>
    <row r="197" spans="1:12" ht="15" x14ac:dyDescent="0.25">
      <c r="A197" s="272"/>
      <c r="B197" s="559"/>
      <c r="C197" s="560"/>
      <c r="D197" s="481" t="s">
        <v>697</v>
      </c>
      <c r="E197" s="354"/>
      <c r="F197" s="358"/>
      <c r="G197" s="354"/>
      <c r="H197" s="354">
        <v>7790735.3200000003</v>
      </c>
      <c r="I197" s="354">
        <f t="shared" si="43"/>
        <v>7790735.3200000003</v>
      </c>
      <c r="J197" s="354"/>
      <c r="L197" s="520"/>
    </row>
    <row r="198" spans="1:12" ht="15" x14ac:dyDescent="0.25">
      <c r="A198" s="272"/>
      <c r="B198" s="559"/>
      <c r="C198" s="560"/>
      <c r="D198" s="481" t="s">
        <v>698</v>
      </c>
      <c r="E198" s="354"/>
      <c r="F198" s="358"/>
      <c r="G198" s="354"/>
      <c r="H198" s="354">
        <v>20355515</v>
      </c>
      <c r="I198" s="354">
        <f t="shared" si="43"/>
        <v>20355515</v>
      </c>
      <c r="J198" s="354"/>
      <c r="L198" s="520"/>
    </row>
    <row r="199" spans="1:12" ht="15" x14ac:dyDescent="0.25">
      <c r="A199" s="272"/>
      <c r="B199" s="559"/>
      <c r="C199" s="560"/>
      <c r="D199" s="481" t="s">
        <v>699</v>
      </c>
      <c r="E199" s="354"/>
      <c r="F199" s="358"/>
      <c r="G199" s="354"/>
      <c r="H199" s="354">
        <v>48965234.780000001</v>
      </c>
      <c r="I199" s="354">
        <f t="shared" si="43"/>
        <v>48965234.780000001</v>
      </c>
      <c r="J199" s="354"/>
      <c r="L199" s="520"/>
    </row>
    <row r="200" spans="1:12" ht="15" x14ac:dyDescent="0.25">
      <c r="A200" s="272"/>
      <c r="B200" s="559"/>
      <c r="C200" s="560"/>
      <c r="D200" s="481" t="s">
        <v>700</v>
      </c>
      <c r="E200" s="354"/>
      <c r="F200" s="358"/>
      <c r="G200" s="354"/>
      <c r="H200" s="354">
        <v>29125671.02</v>
      </c>
      <c r="I200" s="354">
        <f t="shared" si="43"/>
        <v>29125671.02</v>
      </c>
      <c r="J200" s="354"/>
      <c r="L200" s="520"/>
    </row>
    <row r="201" spans="1:12" ht="15" x14ac:dyDescent="0.25">
      <c r="A201" s="272"/>
      <c r="B201" s="643"/>
      <c r="C201" s="642"/>
      <c r="D201" s="481" t="s">
        <v>620</v>
      </c>
      <c r="E201" s="354"/>
      <c r="F201" s="358"/>
      <c r="G201" s="354"/>
      <c r="H201" s="354">
        <v>234387241.84999999</v>
      </c>
      <c r="I201" s="354">
        <f t="shared" si="43"/>
        <v>234387241.84999999</v>
      </c>
      <c r="J201" s="354"/>
      <c r="L201" s="520"/>
    </row>
    <row r="202" spans="1:12" ht="22.5" x14ac:dyDescent="0.25">
      <c r="A202" s="272"/>
      <c r="B202" s="643"/>
      <c r="C202" s="642"/>
      <c r="D202" s="481" t="s">
        <v>609</v>
      </c>
      <c r="E202" s="354"/>
      <c r="F202" s="358"/>
      <c r="G202" s="354"/>
      <c r="H202" s="354">
        <v>19232924.82</v>
      </c>
      <c r="I202" s="354">
        <f t="shared" si="43"/>
        <v>19232924.82</v>
      </c>
      <c r="J202" s="354"/>
      <c r="L202" s="520"/>
    </row>
    <row r="203" spans="1:12" ht="22.5" x14ac:dyDescent="0.25">
      <c r="A203" s="272"/>
      <c r="B203" s="643"/>
      <c r="C203" s="642"/>
      <c r="D203" s="481" t="s">
        <v>701</v>
      </c>
      <c r="E203" s="354"/>
      <c r="F203" s="358"/>
      <c r="G203" s="354"/>
      <c r="H203" s="354">
        <v>525000</v>
      </c>
      <c r="I203" s="354">
        <f t="shared" si="43"/>
        <v>525000</v>
      </c>
      <c r="J203" s="354"/>
      <c r="L203" s="520"/>
    </row>
    <row r="204" spans="1:12" ht="22.5" x14ac:dyDescent="0.25">
      <c r="A204" s="272"/>
      <c r="B204" s="643"/>
      <c r="C204" s="642"/>
      <c r="D204" s="481" t="s">
        <v>610</v>
      </c>
      <c r="E204" s="354"/>
      <c r="F204" s="358"/>
      <c r="G204" s="354"/>
      <c r="H204" s="354">
        <v>435808.97</v>
      </c>
      <c r="I204" s="354">
        <f t="shared" si="43"/>
        <v>435808.97</v>
      </c>
      <c r="J204" s="354"/>
      <c r="L204" s="520"/>
    </row>
    <row r="205" spans="1:12" ht="15" x14ac:dyDescent="0.25">
      <c r="A205" s="272"/>
      <c r="B205" s="643"/>
      <c r="C205" s="642"/>
      <c r="D205" s="481" t="s">
        <v>611</v>
      </c>
      <c r="E205" s="354"/>
      <c r="F205" s="358"/>
      <c r="G205" s="354"/>
      <c r="H205" s="354">
        <v>6895639.2199999997</v>
      </c>
      <c r="I205" s="354">
        <f t="shared" si="43"/>
        <v>6895639.2199999997</v>
      </c>
      <c r="J205" s="354"/>
      <c r="L205" s="520"/>
    </row>
    <row r="206" spans="1:12" ht="15" x14ac:dyDescent="0.25">
      <c r="A206" s="272"/>
      <c r="B206" s="643"/>
      <c r="C206" s="642"/>
      <c r="D206" s="481" t="s">
        <v>633</v>
      </c>
      <c r="E206" s="354"/>
      <c r="F206" s="358"/>
      <c r="G206" s="354"/>
      <c r="H206" s="354">
        <v>3286800</v>
      </c>
      <c r="I206" s="354">
        <f t="shared" si="43"/>
        <v>3286800</v>
      </c>
      <c r="J206" s="354"/>
      <c r="L206" s="520"/>
    </row>
    <row r="207" spans="1:12" ht="15" x14ac:dyDescent="0.25">
      <c r="A207" s="272"/>
      <c r="B207" s="643"/>
      <c r="C207" s="642"/>
      <c r="D207" s="481" t="s">
        <v>702</v>
      </c>
      <c r="E207" s="354"/>
      <c r="F207" s="358"/>
      <c r="G207" s="354"/>
      <c r="H207" s="354">
        <v>9264766</v>
      </c>
      <c r="I207" s="354">
        <f t="shared" si="43"/>
        <v>9264766</v>
      </c>
      <c r="J207" s="354"/>
      <c r="L207" s="520"/>
    </row>
    <row r="208" spans="1:12" ht="22.5" x14ac:dyDescent="0.25">
      <c r="A208" s="272"/>
      <c r="B208" s="643"/>
      <c r="C208" s="642"/>
      <c r="D208" s="481" t="s">
        <v>612</v>
      </c>
      <c r="E208" s="354"/>
      <c r="F208" s="358"/>
      <c r="G208" s="354"/>
      <c r="H208" s="354">
        <v>5399613</v>
      </c>
      <c r="I208" s="354">
        <f t="shared" si="43"/>
        <v>5399613</v>
      </c>
      <c r="J208" s="354"/>
      <c r="L208" s="520"/>
    </row>
    <row r="209" spans="1:12" ht="15" x14ac:dyDescent="0.25">
      <c r="A209" s="272"/>
      <c r="B209" s="643"/>
      <c r="C209" s="642"/>
      <c r="D209" s="481" t="s">
        <v>751</v>
      </c>
      <c r="E209" s="354"/>
      <c r="F209" s="358"/>
      <c r="G209" s="354"/>
      <c r="H209" s="354">
        <v>46158940.350000001</v>
      </c>
      <c r="I209" s="354">
        <f t="shared" si="43"/>
        <v>46158940.350000001</v>
      </c>
      <c r="J209" s="354"/>
      <c r="L209" s="520"/>
    </row>
    <row r="210" spans="1:12" ht="22.5" x14ac:dyDescent="0.25">
      <c r="A210" s="272"/>
      <c r="B210" s="643"/>
      <c r="C210" s="642"/>
      <c r="D210" s="481" t="s">
        <v>703</v>
      </c>
      <c r="E210" s="354"/>
      <c r="F210" s="358"/>
      <c r="G210" s="354"/>
      <c r="H210" s="354">
        <v>148836588</v>
      </c>
      <c r="I210" s="354">
        <f t="shared" si="43"/>
        <v>148836588</v>
      </c>
      <c r="J210" s="354"/>
      <c r="L210" s="520"/>
    </row>
    <row r="211" spans="1:12" ht="15" x14ac:dyDescent="0.25">
      <c r="A211" s="272"/>
      <c r="B211" s="643"/>
      <c r="C211" s="642"/>
      <c r="D211" s="481" t="s">
        <v>664</v>
      </c>
      <c r="E211" s="354"/>
      <c r="F211" s="358"/>
      <c r="G211" s="354"/>
      <c r="H211" s="354">
        <v>8000000</v>
      </c>
      <c r="I211" s="354">
        <f t="shared" si="43"/>
        <v>8000000</v>
      </c>
      <c r="J211" s="354"/>
      <c r="L211" s="520"/>
    </row>
    <row r="212" spans="1:12" ht="22.5" x14ac:dyDescent="0.25">
      <c r="A212" s="272"/>
      <c r="B212" s="643"/>
      <c r="C212" s="642"/>
      <c r="D212" s="481" t="s">
        <v>752</v>
      </c>
      <c r="E212" s="354"/>
      <c r="F212" s="358"/>
      <c r="G212" s="354"/>
      <c r="H212" s="354">
        <v>24921726.25</v>
      </c>
      <c r="I212" s="354">
        <f t="shared" si="43"/>
        <v>24921726.25</v>
      </c>
      <c r="J212" s="354"/>
      <c r="L212" s="520"/>
    </row>
    <row r="213" spans="1:12" ht="15" x14ac:dyDescent="0.25">
      <c r="A213" s="272"/>
      <c r="B213" s="643"/>
      <c r="C213" s="642"/>
      <c r="D213" s="481" t="s">
        <v>704</v>
      </c>
      <c r="E213" s="354"/>
      <c r="F213" s="358"/>
      <c r="G213" s="354"/>
      <c r="H213" s="354">
        <v>200000000</v>
      </c>
      <c r="I213" s="354">
        <f t="shared" si="43"/>
        <v>200000000</v>
      </c>
      <c r="J213" s="354"/>
      <c r="L213" s="520"/>
    </row>
    <row r="214" spans="1:12" ht="15" x14ac:dyDescent="0.25">
      <c r="A214" s="272"/>
      <c r="B214" s="643"/>
      <c r="C214" s="642"/>
      <c r="D214" s="481" t="s">
        <v>705</v>
      </c>
      <c r="E214" s="354"/>
      <c r="F214" s="358"/>
      <c r="G214" s="354"/>
      <c r="H214" s="354">
        <v>3500000</v>
      </c>
      <c r="I214" s="354">
        <f t="shared" si="43"/>
        <v>3500000</v>
      </c>
      <c r="J214" s="354"/>
      <c r="L214" s="520"/>
    </row>
    <row r="215" spans="1:12" ht="22.5" x14ac:dyDescent="0.25">
      <c r="A215" s="272"/>
      <c r="B215" s="643"/>
      <c r="C215" s="642"/>
      <c r="D215" s="481" t="s">
        <v>706</v>
      </c>
      <c r="E215" s="354"/>
      <c r="F215" s="358"/>
      <c r="G215" s="354"/>
      <c r="H215" s="354">
        <v>4403700</v>
      </c>
      <c r="I215" s="354">
        <f t="shared" si="43"/>
        <v>4403700</v>
      </c>
      <c r="J215" s="354"/>
      <c r="L215" s="520"/>
    </row>
    <row r="216" spans="1:12" ht="22.5" x14ac:dyDescent="0.25">
      <c r="A216" s="272"/>
      <c r="B216" s="643"/>
      <c r="C216" s="642"/>
      <c r="D216" s="481" t="s">
        <v>753</v>
      </c>
      <c r="E216" s="354"/>
      <c r="F216" s="358"/>
      <c r="G216" s="354"/>
      <c r="H216" s="354">
        <v>1322966</v>
      </c>
      <c r="I216" s="354">
        <f t="shared" si="43"/>
        <v>1322966</v>
      </c>
      <c r="J216" s="354"/>
      <c r="L216" s="520"/>
    </row>
    <row r="217" spans="1:12" ht="22.5" x14ac:dyDescent="0.25">
      <c r="A217" s="272"/>
      <c r="B217" s="643"/>
      <c r="C217" s="642"/>
      <c r="D217" s="481" t="s">
        <v>808</v>
      </c>
      <c r="E217" s="354"/>
      <c r="F217" s="358"/>
      <c r="G217" s="354"/>
      <c r="H217" s="354">
        <v>12965356</v>
      </c>
      <c r="I217" s="354">
        <f t="shared" si="43"/>
        <v>12965356</v>
      </c>
      <c r="J217" s="354"/>
      <c r="L217" s="520"/>
    </row>
    <row r="218" spans="1:12" ht="15" x14ac:dyDescent="0.25">
      <c r="A218" s="272"/>
      <c r="B218" s="643"/>
      <c r="C218" s="642"/>
      <c r="D218" s="481" t="s">
        <v>712</v>
      </c>
      <c r="E218" s="354"/>
      <c r="F218" s="358"/>
      <c r="G218" s="354"/>
      <c r="H218" s="354">
        <v>2922225.7</v>
      </c>
      <c r="I218" s="354">
        <f t="shared" si="43"/>
        <v>2922225.7</v>
      </c>
      <c r="J218" s="354"/>
      <c r="L218" s="520"/>
    </row>
    <row r="219" spans="1:12" ht="22.5" x14ac:dyDescent="0.25">
      <c r="A219" s="272"/>
      <c r="B219" s="643"/>
      <c r="C219" s="642"/>
      <c r="D219" s="481" t="s">
        <v>809</v>
      </c>
      <c r="E219" s="354"/>
      <c r="F219" s="358"/>
      <c r="G219" s="354"/>
      <c r="H219" s="354">
        <v>360000</v>
      </c>
      <c r="I219" s="354">
        <f t="shared" si="43"/>
        <v>360000</v>
      </c>
      <c r="J219" s="354"/>
      <c r="L219" s="520"/>
    </row>
    <row r="220" spans="1:12" ht="22.5" x14ac:dyDescent="0.25">
      <c r="A220" s="272"/>
      <c r="B220" s="643"/>
      <c r="C220" s="642"/>
      <c r="D220" s="481" t="s">
        <v>731</v>
      </c>
      <c r="E220" s="354"/>
      <c r="F220" s="358"/>
      <c r="G220" s="354"/>
      <c r="H220" s="354">
        <v>7083487.4699999997</v>
      </c>
      <c r="I220" s="354">
        <f t="shared" si="43"/>
        <v>7083487.4699999997</v>
      </c>
      <c r="J220" s="354"/>
      <c r="L220" s="520"/>
    </row>
    <row r="221" spans="1:12" ht="15" x14ac:dyDescent="0.25">
      <c r="A221" s="272"/>
      <c r="B221" s="643"/>
      <c r="C221" s="642"/>
      <c r="D221" s="481" t="s">
        <v>754</v>
      </c>
      <c r="E221" s="354"/>
      <c r="F221" s="358"/>
      <c r="G221" s="354"/>
      <c r="H221" s="354">
        <v>20000019.600000001</v>
      </c>
      <c r="I221" s="354">
        <f t="shared" si="43"/>
        <v>20000019.600000001</v>
      </c>
      <c r="J221" s="354"/>
      <c r="L221" s="520"/>
    </row>
    <row r="222" spans="1:12" ht="22.5" x14ac:dyDescent="0.25">
      <c r="A222" s="272"/>
      <c r="B222" s="643"/>
      <c r="C222" s="642"/>
      <c r="D222" s="481" t="s">
        <v>755</v>
      </c>
      <c r="E222" s="354"/>
      <c r="F222" s="358"/>
      <c r="G222" s="354"/>
      <c r="H222" s="354">
        <v>44018412</v>
      </c>
      <c r="I222" s="354">
        <f t="shared" si="43"/>
        <v>44018412</v>
      </c>
      <c r="J222" s="354"/>
      <c r="L222" s="520"/>
    </row>
    <row r="223" spans="1:12" ht="15" x14ac:dyDescent="0.25">
      <c r="A223" s="272"/>
      <c r="B223" s="643"/>
      <c r="C223" s="642"/>
      <c r="D223" s="481" t="s">
        <v>756</v>
      </c>
      <c r="E223" s="354"/>
      <c r="F223" s="358"/>
      <c r="G223" s="354"/>
      <c r="H223" s="354">
        <v>50000000</v>
      </c>
      <c r="I223" s="354">
        <f t="shared" si="43"/>
        <v>50000000</v>
      </c>
      <c r="J223" s="354"/>
      <c r="L223" s="520"/>
    </row>
    <row r="224" spans="1:12" ht="15" x14ac:dyDescent="0.25">
      <c r="A224" s="272"/>
      <c r="B224" s="643"/>
      <c r="C224" s="642"/>
      <c r="D224" s="481" t="s">
        <v>757</v>
      </c>
      <c r="E224" s="354"/>
      <c r="F224" s="358"/>
      <c r="G224" s="354"/>
      <c r="H224" s="354">
        <v>40688880</v>
      </c>
      <c r="I224" s="354">
        <f t="shared" si="43"/>
        <v>40688880</v>
      </c>
      <c r="J224" s="354"/>
      <c r="L224" s="520"/>
    </row>
    <row r="225" spans="1:16" ht="15" x14ac:dyDescent="0.25">
      <c r="A225" s="272"/>
      <c r="B225" s="643"/>
      <c r="C225" s="642"/>
      <c r="D225" s="481" t="s">
        <v>810</v>
      </c>
      <c r="E225" s="354"/>
      <c r="F225" s="358"/>
      <c r="G225" s="354"/>
      <c r="H225" s="354">
        <v>8100000</v>
      </c>
      <c r="I225" s="354">
        <f t="shared" ref="I225:I239" si="44">+H225</f>
        <v>8100000</v>
      </c>
      <c r="J225" s="354"/>
      <c r="L225" s="520"/>
    </row>
    <row r="226" spans="1:16" ht="22.5" x14ac:dyDescent="0.25">
      <c r="A226" s="272"/>
      <c r="B226" s="643"/>
      <c r="C226" s="642"/>
      <c r="D226" s="481" t="s">
        <v>811</v>
      </c>
      <c r="E226" s="354"/>
      <c r="F226" s="358"/>
      <c r="G226" s="354"/>
      <c r="H226" s="354">
        <v>8540376</v>
      </c>
      <c r="I226" s="354">
        <f t="shared" si="44"/>
        <v>8540376</v>
      </c>
      <c r="J226" s="354"/>
      <c r="L226" s="520"/>
    </row>
    <row r="227" spans="1:16" ht="22.5" x14ac:dyDescent="0.25">
      <c r="A227" s="272"/>
      <c r="B227" s="643"/>
      <c r="C227" s="642"/>
      <c r="D227" s="481" t="s">
        <v>812</v>
      </c>
      <c r="E227" s="354"/>
      <c r="F227" s="358"/>
      <c r="G227" s="354"/>
      <c r="H227" s="354">
        <v>7353669.1500000004</v>
      </c>
      <c r="I227" s="354">
        <f t="shared" si="44"/>
        <v>7353669.1500000004</v>
      </c>
      <c r="J227" s="354"/>
      <c r="L227" s="520"/>
    </row>
    <row r="228" spans="1:16" ht="22.5" x14ac:dyDescent="0.25">
      <c r="A228" s="272"/>
      <c r="B228" s="643"/>
      <c r="C228" s="642"/>
      <c r="D228" s="481" t="s">
        <v>813</v>
      </c>
      <c r="E228" s="354"/>
      <c r="F228" s="358"/>
      <c r="G228" s="354"/>
      <c r="H228" s="354">
        <v>239815.86</v>
      </c>
      <c r="I228" s="354">
        <f t="shared" si="44"/>
        <v>239815.86</v>
      </c>
      <c r="J228" s="354"/>
      <c r="L228" s="520"/>
    </row>
    <row r="229" spans="1:16" ht="15" x14ac:dyDescent="0.25">
      <c r="A229" s="272"/>
      <c r="B229" s="643"/>
      <c r="C229" s="642"/>
      <c r="D229" s="481" t="s">
        <v>814</v>
      </c>
      <c r="E229" s="354"/>
      <c r="F229" s="358"/>
      <c r="G229" s="354"/>
      <c r="H229" s="354">
        <v>30000000</v>
      </c>
      <c r="I229" s="354">
        <f t="shared" si="44"/>
        <v>30000000</v>
      </c>
      <c r="J229" s="354"/>
      <c r="L229" s="520"/>
    </row>
    <row r="230" spans="1:16" ht="22.5" x14ac:dyDescent="0.25">
      <c r="A230" s="272"/>
      <c r="B230" s="643"/>
      <c r="C230" s="642"/>
      <c r="D230" s="481" t="s">
        <v>815</v>
      </c>
      <c r="E230" s="354"/>
      <c r="F230" s="358"/>
      <c r="G230" s="354"/>
      <c r="H230" s="354">
        <v>30000000</v>
      </c>
      <c r="I230" s="354">
        <f t="shared" si="44"/>
        <v>30000000</v>
      </c>
      <c r="J230" s="354"/>
      <c r="L230" s="520"/>
    </row>
    <row r="231" spans="1:16" ht="22.5" x14ac:dyDescent="0.25">
      <c r="A231" s="272"/>
      <c r="B231" s="643"/>
      <c r="C231" s="642"/>
      <c r="D231" s="481" t="s">
        <v>816</v>
      </c>
      <c r="E231" s="354"/>
      <c r="F231" s="358"/>
      <c r="G231" s="354"/>
      <c r="H231" s="354">
        <v>700000</v>
      </c>
      <c r="I231" s="354">
        <f t="shared" si="44"/>
        <v>700000</v>
      </c>
      <c r="J231" s="354"/>
      <c r="L231" s="520"/>
    </row>
    <row r="232" spans="1:16" ht="15" x14ac:dyDescent="0.25">
      <c r="A232" s="272"/>
      <c r="B232" s="643"/>
      <c r="C232" s="642"/>
      <c r="D232" s="481" t="s">
        <v>817</v>
      </c>
      <c r="E232" s="354"/>
      <c r="F232" s="358"/>
      <c r="G232" s="354"/>
      <c r="H232" s="354">
        <v>69643742.700000003</v>
      </c>
      <c r="I232" s="354">
        <f t="shared" si="44"/>
        <v>69643742.700000003</v>
      </c>
      <c r="J232" s="354"/>
      <c r="L232" s="520"/>
    </row>
    <row r="233" spans="1:16" ht="15" x14ac:dyDescent="0.25">
      <c r="A233" s="272"/>
      <c r="B233" s="643"/>
      <c r="C233" s="642"/>
      <c r="D233" s="481" t="s">
        <v>818</v>
      </c>
      <c r="E233" s="354"/>
      <c r="F233" s="358"/>
      <c r="G233" s="354"/>
      <c r="H233" s="354">
        <v>725000000</v>
      </c>
      <c r="I233" s="354">
        <f t="shared" si="44"/>
        <v>725000000</v>
      </c>
      <c r="J233" s="354"/>
      <c r="L233" s="520"/>
    </row>
    <row r="234" spans="1:16" ht="22.5" x14ac:dyDescent="0.25">
      <c r="A234" s="272"/>
      <c r="B234" s="643"/>
      <c r="C234" s="642"/>
      <c r="D234" s="481" t="s">
        <v>819</v>
      </c>
      <c r="E234" s="354"/>
      <c r="F234" s="358"/>
      <c r="G234" s="354"/>
      <c r="H234" s="354">
        <v>300000000</v>
      </c>
      <c r="I234" s="354">
        <f t="shared" si="44"/>
        <v>300000000</v>
      </c>
      <c r="J234" s="354"/>
      <c r="L234" s="520"/>
    </row>
    <row r="235" spans="1:16" ht="22.5" x14ac:dyDescent="0.25">
      <c r="A235" s="272"/>
      <c r="B235" s="643"/>
      <c r="C235" s="642"/>
      <c r="D235" s="481" t="s">
        <v>820</v>
      </c>
      <c r="E235" s="354"/>
      <c r="F235" s="358"/>
      <c r="G235" s="354"/>
      <c r="H235" s="354">
        <v>5400000</v>
      </c>
      <c r="I235" s="354">
        <f t="shared" si="44"/>
        <v>5400000</v>
      </c>
      <c r="J235" s="354"/>
      <c r="L235" s="520"/>
    </row>
    <row r="236" spans="1:16" ht="22.5" x14ac:dyDescent="0.25">
      <c r="A236" s="272"/>
      <c r="B236" s="643"/>
      <c r="C236" s="642"/>
      <c r="D236" s="481" t="s">
        <v>821</v>
      </c>
      <c r="E236" s="354"/>
      <c r="F236" s="358"/>
      <c r="G236" s="354"/>
      <c r="H236" s="354">
        <v>3660000</v>
      </c>
      <c r="I236" s="354">
        <f t="shared" si="44"/>
        <v>3660000</v>
      </c>
      <c r="J236" s="354"/>
      <c r="L236" s="520"/>
    </row>
    <row r="237" spans="1:16" ht="15" x14ac:dyDescent="0.25">
      <c r="A237" s="272"/>
      <c r="B237" s="643"/>
      <c r="C237" s="642"/>
      <c r="D237" s="481" t="s">
        <v>822</v>
      </c>
      <c r="E237" s="354"/>
      <c r="F237" s="358"/>
      <c r="G237" s="354"/>
      <c r="H237" s="354">
        <v>4492967.54</v>
      </c>
      <c r="I237" s="354">
        <f t="shared" si="44"/>
        <v>4492967.54</v>
      </c>
      <c r="J237" s="354"/>
      <c r="L237" s="520"/>
    </row>
    <row r="238" spans="1:16" ht="22.5" x14ac:dyDescent="0.25">
      <c r="A238" s="272"/>
      <c r="B238" s="643"/>
      <c r="C238" s="642"/>
      <c r="D238" s="481" t="s">
        <v>758</v>
      </c>
      <c r="E238" s="354"/>
      <c r="F238" s="358"/>
      <c r="G238" s="354"/>
      <c r="H238" s="354">
        <v>566985.43000000005</v>
      </c>
      <c r="I238" s="354">
        <f t="shared" si="44"/>
        <v>566985.43000000005</v>
      </c>
      <c r="J238" s="354"/>
      <c r="L238" s="520"/>
    </row>
    <row r="239" spans="1:16" ht="22.5" x14ac:dyDescent="0.25">
      <c r="A239" s="272"/>
      <c r="B239" s="643"/>
      <c r="C239" s="642"/>
      <c r="D239" s="481" t="s">
        <v>823</v>
      </c>
      <c r="E239" s="354"/>
      <c r="F239" s="358"/>
      <c r="G239" s="354"/>
      <c r="H239" s="354">
        <v>5449600</v>
      </c>
      <c r="I239" s="354">
        <f t="shared" si="44"/>
        <v>5449600</v>
      </c>
      <c r="J239" s="354"/>
      <c r="L239" s="520"/>
    </row>
    <row r="240" spans="1:16" s="294" customFormat="1" ht="15" x14ac:dyDescent="0.25">
      <c r="A240" s="278"/>
      <c r="B240" s="854" t="s">
        <v>223</v>
      </c>
      <c r="C240" s="855"/>
      <c r="D240" s="856"/>
      <c r="E240" s="476">
        <f>+E241+E242</f>
        <v>290753000</v>
      </c>
      <c r="F240" s="476">
        <f t="shared" ref="F240:I240" si="45">+F241+F242</f>
        <v>11440155</v>
      </c>
      <c r="G240" s="476">
        <f t="shared" si="45"/>
        <v>302193155</v>
      </c>
      <c r="H240" s="476">
        <f t="shared" si="45"/>
        <v>302193155</v>
      </c>
      <c r="I240" s="476">
        <f t="shared" si="45"/>
        <v>302193155</v>
      </c>
      <c r="J240" s="476">
        <f>+I240-E240</f>
        <v>11440155</v>
      </c>
      <c r="K240" s="293"/>
      <c r="L240" s="520"/>
      <c r="M240" s="556">
        <f t="shared" ref="M240:M245" si="46">+H240-G240</f>
        <v>0</v>
      </c>
      <c r="N240" s="662">
        <v>11440155</v>
      </c>
      <c r="O240" s="484"/>
      <c r="P240" s="484"/>
    </row>
    <row r="241" spans="1:16" ht="15" x14ac:dyDescent="0.25">
      <c r="A241" s="272"/>
      <c r="B241" s="469"/>
      <c r="C241" s="467"/>
      <c r="D241" s="468" t="s">
        <v>613</v>
      </c>
      <c r="E241" s="354">
        <v>290753000</v>
      </c>
      <c r="F241" s="358">
        <f>+N241</f>
        <v>-238438149</v>
      </c>
      <c r="G241" s="354">
        <f>+E241+F241</f>
        <v>52314851</v>
      </c>
      <c r="H241" s="354">
        <v>52314851</v>
      </c>
      <c r="I241" s="354">
        <f t="shared" ref="I241:I242" si="47">+H241</f>
        <v>52314851</v>
      </c>
      <c r="J241" s="354"/>
      <c r="L241" s="520"/>
      <c r="M241" s="556">
        <f t="shared" si="46"/>
        <v>0</v>
      </c>
      <c r="N241" s="556">
        <v>-238438149</v>
      </c>
    </row>
    <row r="242" spans="1:16" ht="15" x14ac:dyDescent="0.25">
      <c r="A242" s="272"/>
      <c r="B242" s="487"/>
      <c r="C242" s="485"/>
      <c r="D242" s="486" t="s">
        <v>707</v>
      </c>
      <c r="E242" s="354">
        <v>0</v>
      </c>
      <c r="F242" s="358">
        <f>+N242</f>
        <v>249878304</v>
      </c>
      <c r="G242" s="354">
        <f>+E242+F242</f>
        <v>249878304</v>
      </c>
      <c r="H242" s="354">
        <v>249878304</v>
      </c>
      <c r="I242" s="354">
        <f t="shared" si="47"/>
        <v>249878304</v>
      </c>
      <c r="J242" s="354"/>
      <c r="L242" s="520"/>
      <c r="M242" s="556">
        <f t="shared" si="46"/>
        <v>0</v>
      </c>
      <c r="N242" s="556">
        <v>249878304</v>
      </c>
    </row>
    <row r="243" spans="1:16" s="294" customFormat="1" ht="15" x14ac:dyDescent="0.25">
      <c r="A243" s="267"/>
      <c r="B243" s="854" t="s">
        <v>105</v>
      </c>
      <c r="C243" s="855"/>
      <c r="D243" s="856"/>
      <c r="E243" s="476">
        <f>+E244+E245</f>
        <v>0</v>
      </c>
      <c r="F243" s="476">
        <f t="shared" ref="F243:I243" si="48">+F244+F245</f>
        <v>191976219.94</v>
      </c>
      <c r="G243" s="476">
        <f t="shared" si="48"/>
        <v>191976219.94</v>
      </c>
      <c r="H243" s="476">
        <f t="shared" si="48"/>
        <v>191976219.94</v>
      </c>
      <c r="I243" s="476">
        <f t="shared" si="48"/>
        <v>191976219.94</v>
      </c>
      <c r="J243" s="476">
        <f>+I243-E243</f>
        <v>191976219.94</v>
      </c>
      <c r="K243" s="293"/>
      <c r="L243" s="520"/>
      <c r="M243" s="556">
        <f t="shared" si="46"/>
        <v>0</v>
      </c>
      <c r="N243" s="556">
        <v>174677425.78999999</v>
      </c>
      <c r="O243" s="484"/>
      <c r="P243" s="484"/>
    </row>
    <row r="244" spans="1:16" s="294" customFormat="1" ht="15" x14ac:dyDescent="0.25">
      <c r="A244" s="267"/>
      <c r="B244" s="644"/>
      <c r="C244" s="645"/>
      <c r="D244" s="481" t="s">
        <v>614</v>
      </c>
      <c r="E244" s="354">
        <v>0</v>
      </c>
      <c r="F244" s="358">
        <f>+N244</f>
        <v>27339799.25</v>
      </c>
      <c r="G244" s="354">
        <f t="shared" ref="G244" si="49">+E244+F244</f>
        <v>27339799.25</v>
      </c>
      <c r="H244" s="354">
        <v>27339799.25</v>
      </c>
      <c r="I244" s="354">
        <f t="shared" ref="I244" si="50">+H244</f>
        <v>27339799.25</v>
      </c>
      <c r="J244" s="476"/>
      <c r="K244" s="293"/>
      <c r="L244" s="520"/>
      <c r="M244" s="556">
        <f t="shared" si="46"/>
        <v>0</v>
      </c>
      <c r="N244" s="556">
        <v>27339799.25</v>
      </c>
      <c r="O244" s="484"/>
      <c r="P244" s="484"/>
    </row>
    <row r="245" spans="1:16" ht="15" x14ac:dyDescent="0.25">
      <c r="A245" s="272"/>
      <c r="B245" s="469"/>
      <c r="C245" s="467"/>
      <c r="D245" s="481" t="s">
        <v>824</v>
      </c>
      <c r="E245" s="354">
        <v>0</v>
      </c>
      <c r="F245" s="358">
        <f>+N245</f>
        <v>164636420.69</v>
      </c>
      <c r="G245" s="354">
        <f t="shared" ref="G245" si="51">+E245+F245</f>
        <v>164636420.69</v>
      </c>
      <c r="H245" s="354">
        <v>164636420.69</v>
      </c>
      <c r="I245" s="354">
        <f t="shared" ref="I245" si="52">+H245</f>
        <v>164636420.69</v>
      </c>
      <c r="J245" s="476"/>
      <c r="L245" s="520"/>
      <c r="M245" s="556">
        <f t="shared" si="46"/>
        <v>0</v>
      </c>
      <c r="N245" s="556">
        <v>164636420.69</v>
      </c>
    </row>
    <row r="246" spans="1:16" ht="15" x14ac:dyDescent="0.25">
      <c r="A246" s="272"/>
      <c r="B246" s="279"/>
      <c r="C246" s="280"/>
      <c r="D246" s="281"/>
      <c r="E246" s="282"/>
      <c r="F246" s="351"/>
      <c r="G246" s="282"/>
      <c r="H246" s="282"/>
      <c r="I246" s="482"/>
      <c r="J246" s="282"/>
      <c r="L246" s="520"/>
    </row>
    <row r="247" spans="1:16" s="672" customFormat="1" ht="24.75" customHeight="1" x14ac:dyDescent="0.25">
      <c r="A247" s="663"/>
      <c r="B247" s="664"/>
      <c r="C247" s="665"/>
      <c r="D247" s="497" t="s">
        <v>708</v>
      </c>
      <c r="E247" s="666">
        <f t="shared" ref="E247:J247" si="53">SUM(E17+E26+E27+E33+E41+E46+E50+E69+E240+E243+E51)</f>
        <v>43763068349.997108</v>
      </c>
      <c r="F247" s="666">
        <f t="shared" si="53"/>
        <v>2588841322.5928955</v>
      </c>
      <c r="G247" s="666">
        <f t="shared" si="53"/>
        <v>46351909672.590012</v>
      </c>
      <c r="H247" s="666">
        <f t="shared" si="53"/>
        <v>46351909672.590004</v>
      </c>
      <c r="I247" s="666">
        <f t="shared" si="53"/>
        <v>46351909672.590004</v>
      </c>
      <c r="J247" s="666">
        <f t="shared" si="53"/>
        <v>2588841322.5928946</v>
      </c>
      <c r="K247" s="667"/>
      <c r="L247" s="668"/>
      <c r="M247" s="669"/>
      <c r="N247" s="670"/>
      <c r="O247" s="671"/>
      <c r="P247" s="671"/>
    </row>
    <row r="248" spans="1:16" ht="15" x14ac:dyDescent="0.25">
      <c r="L248" s="520"/>
    </row>
    <row r="249" spans="1:16" ht="15" x14ac:dyDescent="0.25">
      <c r="A249" s="266"/>
      <c r="E249" s="379"/>
      <c r="F249" s="379"/>
      <c r="G249" s="379"/>
      <c r="H249" s="379"/>
      <c r="I249" s="379"/>
      <c r="J249" s="379"/>
      <c r="K249" s="266"/>
      <c r="L249" s="520"/>
    </row>
    <row r="250" spans="1:16" s="708" customFormat="1" ht="12.75" x14ac:dyDescent="0.2">
      <c r="E250" s="712"/>
      <c r="F250" s="712"/>
      <c r="G250" s="712"/>
      <c r="H250" s="712"/>
      <c r="I250" s="712"/>
      <c r="J250" s="712"/>
      <c r="L250" s="713"/>
      <c r="M250" s="633"/>
      <c r="N250" s="714"/>
      <c r="O250" s="505"/>
      <c r="P250" s="505"/>
    </row>
    <row r="251" spans="1:16" ht="15" x14ac:dyDescent="0.25">
      <c r="E251" s="517"/>
      <c r="F251" s="517"/>
      <c r="G251" s="517"/>
      <c r="H251" s="517"/>
      <c r="I251" s="517"/>
      <c r="J251" s="517"/>
      <c r="L251" s="520"/>
    </row>
    <row r="252" spans="1:16" ht="15" x14ac:dyDescent="0.25">
      <c r="H252" s="379"/>
      <c r="L252" s="520"/>
    </row>
    <row r="253" spans="1:16" ht="15" x14ac:dyDescent="0.25">
      <c r="E253" s="397"/>
      <c r="F253" s="397"/>
      <c r="G253" s="397"/>
      <c r="H253" s="397"/>
      <c r="I253" s="397"/>
      <c r="L253" s="520"/>
    </row>
    <row r="254" spans="1:16" ht="15" x14ac:dyDescent="0.25">
      <c r="H254" s="429"/>
      <c r="L254" s="520"/>
    </row>
    <row r="255" spans="1:16" ht="15" x14ac:dyDescent="0.25">
      <c r="I255" s="397"/>
      <c r="L255" s="520"/>
    </row>
    <row r="256" spans="1:16" ht="15" x14ac:dyDescent="0.25">
      <c r="L256" s="520"/>
    </row>
    <row r="257" spans="12:12" ht="15" x14ac:dyDescent="0.25">
      <c r="L257" s="520"/>
    </row>
    <row r="258" spans="12:12" ht="15" x14ac:dyDescent="0.25">
      <c r="L258" s="520"/>
    </row>
    <row r="259" spans="12:12" ht="15" x14ac:dyDescent="0.25">
      <c r="L259" s="520"/>
    </row>
    <row r="260" spans="12:12" ht="15" x14ac:dyDescent="0.25">
      <c r="L260" s="520"/>
    </row>
    <row r="261" spans="12:12" ht="15" x14ac:dyDescent="0.25">
      <c r="L261" s="520"/>
    </row>
    <row r="262" spans="12:12" ht="15" x14ac:dyDescent="0.25">
      <c r="L262" s="520"/>
    </row>
    <row r="263" spans="12:12" ht="15" x14ac:dyDescent="0.25">
      <c r="L263" s="520"/>
    </row>
  </sheetData>
  <mergeCells count="26">
    <mergeCell ref="B8:J8"/>
    <mergeCell ref="B9:J9"/>
    <mergeCell ref="B10:J10"/>
    <mergeCell ref="B11:J11"/>
    <mergeCell ref="B13:D15"/>
    <mergeCell ref="E13:I13"/>
    <mergeCell ref="J13:J14"/>
    <mergeCell ref="B51:D51"/>
    <mergeCell ref="B17:D17"/>
    <mergeCell ref="B26:D26"/>
    <mergeCell ref="B27:D27"/>
    <mergeCell ref="B33:D33"/>
    <mergeCell ref="B41:D41"/>
    <mergeCell ref="C42:D42"/>
    <mergeCell ref="C45:D45"/>
    <mergeCell ref="B46:D46"/>
    <mergeCell ref="C47:D47"/>
    <mergeCell ref="C49:D49"/>
    <mergeCell ref="B50:D50"/>
    <mergeCell ref="B243:D243"/>
    <mergeCell ref="C52:D52"/>
    <mergeCell ref="C63:D63"/>
    <mergeCell ref="C65:D65"/>
    <mergeCell ref="B69:D69"/>
    <mergeCell ref="C70:D70"/>
    <mergeCell ref="B240:D240"/>
  </mergeCells>
  <pageMargins left="0.43307086614173229" right="0.27559055118110237" top="0.51181102362204722" bottom="0.6692913385826772" header="0.31496062992125984" footer="0.31496062992125984"/>
  <pageSetup scale="54" fitToHeight="4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P114"/>
  <sheetViews>
    <sheetView workbookViewId="0">
      <selection activeCell="A103" sqref="A103"/>
    </sheetView>
  </sheetViews>
  <sheetFormatPr baseColWidth="10" defaultRowHeight="14.25" x14ac:dyDescent="0.2"/>
  <cols>
    <col min="1" max="1" width="2.28515625" style="17" customWidth="1"/>
    <col min="2" max="2" width="3.28515625" style="266" customWidth="1"/>
    <col min="3" max="3" width="55.28515625" style="266" customWidth="1"/>
    <col min="4" max="4" width="21.85546875" style="266" bestFit="1" customWidth="1"/>
    <col min="5" max="5" width="17.42578125" style="266" customWidth="1"/>
    <col min="6" max="6" width="19.42578125" style="266" bestFit="1" customWidth="1"/>
    <col min="7" max="7" width="19.7109375" style="266" bestFit="1" customWidth="1"/>
    <col min="8" max="8" width="17.7109375" style="266" customWidth="1"/>
    <col min="9" max="9" width="18.5703125" style="266" bestFit="1" customWidth="1"/>
    <col min="10" max="10" width="2.7109375" style="17" customWidth="1"/>
    <col min="11" max="11" width="11.42578125" style="266"/>
    <col min="12" max="12" width="15.5703125" style="425" hidden="1" customWidth="1"/>
    <col min="13" max="13" width="18.5703125" style="375" hidden="1" customWidth="1"/>
    <col min="14" max="14" width="13.85546875" style="266" hidden="1" customWidth="1"/>
    <col min="15" max="15" width="16.85546875" style="266" hidden="1" customWidth="1"/>
    <col min="16" max="16" width="0" style="266" hidden="1" customWidth="1"/>
    <col min="17" max="16384" width="11.42578125" style="266"/>
  </cols>
  <sheetData>
    <row r="7" spans="2:15" s="17" customFormat="1" x14ac:dyDescent="0.2">
      <c r="L7" s="425"/>
      <c r="M7" s="646"/>
    </row>
    <row r="8" spans="2:15" ht="15" x14ac:dyDescent="0.25">
      <c r="B8" s="835" t="str">
        <f>+'Edo Analitico Ingresos'!B8:J8</f>
        <v>Cuenta Pública 2016</v>
      </c>
      <c r="C8" s="836"/>
      <c r="D8" s="836"/>
      <c r="E8" s="836"/>
      <c r="F8" s="836"/>
      <c r="G8" s="836"/>
      <c r="H8" s="836"/>
      <c r="I8" s="837"/>
    </row>
    <row r="9" spans="2:15" ht="15.75" customHeight="1" x14ac:dyDescent="0.25">
      <c r="B9" s="838" t="s">
        <v>389</v>
      </c>
      <c r="C9" s="839"/>
      <c r="D9" s="839"/>
      <c r="E9" s="839"/>
      <c r="F9" s="839"/>
      <c r="G9" s="839"/>
      <c r="H9" s="839"/>
      <c r="I9" s="840"/>
    </row>
    <row r="10" spans="2:15" ht="15" x14ac:dyDescent="0.25">
      <c r="B10" s="838" t="s">
        <v>231</v>
      </c>
      <c r="C10" s="839"/>
      <c r="D10" s="839"/>
      <c r="E10" s="839"/>
      <c r="F10" s="839"/>
      <c r="G10" s="839"/>
      <c r="H10" s="839"/>
      <c r="I10" s="840"/>
    </row>
    <row r="11" spans="2:15" ht="15" x14ac:dyDescent="0.25">
      <c r="B11" s="838" t="s">
        <v>232</v>
      </c>
      <c r="C11" s="839"/>
      <c r="D11" s="839"/>
      <c r="E11" s="839"/>
      <c r="F11" s="839"/>
      <c r="G11" s="839"/>
      <c r="H11" s="839"/>
      <c r="I11" s="840"/>
    </row>
    <row r="12" spans="2:15" ht="15" x14ac:dyDescent="0.25">
      <c r="B12" s="841" t="str">
        <f>+'Edo Analitico Ingresos'!B11:J11</f>
        <v>Del 1 de enero al 31 de diciembre de 2016</v>
      </c>
      <c r="C12" s="842"/>
      <c r="D12" s="842"/>
      <c r="E12" s="842"/>
      <c r="F12" s="842"/>
      <c r="G12" s="842"/>
      <c r="H12" s="842"/>
      <c r="I12" s="843"/>
    </row>
    <row r="13" spans="2:15" s="17" customFormat="1" x14ac:dyDescent="0.2">
      <c r="L13" s="425"/>
      <c r="M13" s="646"/>
    </row>
    <row r="14" spans="2:15" ht="15" x14ac:dyDescent="0.2">
      <c r="B14" s="866" t="s">
        <v>76</v>
      </c>
      <c r="C14" s="866"/>
      <c r="D14" s="867" t="s">
        <v>233</v>
      </c>
      <c r="E14" s="867"/>
      <c r="F14" s="867"/>
      <c r="G14" s="867"/>
      <c r="H14" s="867"/>
      <c r="I14" s="867" t="s">
        <v>234</v>
      </c>
    </row>
    <row r="15" spans="2:15" ht="30" x14ac:dyDescent="0.2">
      <c r="B15" s="866"/>
      <c r="C15" s="866"/>
      <c r="D15" s="298" t="s">
        <v>235</v>
      </c>
      <c r="E15" s="298" t="s">
        <v>236</v>
      </c>
      <c r="F15" s="298" t="s">
        <v>210</v>
      </c>
      <c r="G15" s="298" t="s">
        <v>211</v>
      </c>
      <c r="H15" s="298" t="s">
        <v>237</v>
      </c>
      <c r="I15" s="867"/>
    </row>
    <row r="16" spans="2:15" ht="15" x14ac:dyDescent="0.2">
      <c r="B16" s="866"/>
      <c r="C16" s="866"/>
      <c r="D16" s="298">
        <v>1</v>
      </c>
      <c r="E16" s="298">
        <v>2</v>
      </c>
      <c r="F16" s="298" t="s">
        <v>238</v>
      </c>
      <c r="G16" s="298">
        <v>4</v>
      </c>
      <c r="H16" s="298">
        <v>5</v>
      </c>
      <c r="I16" s="298" t="s">
        <v>239</v>
      </c>
      <c r="L16" s="700" t="s">
        <v>831</v>
      </c>
      <c r="M16" s="701"/>
      <c r="N16" s="702" t="s">
        <v>833</v>
      </c>
      <c r="O16" s="702"/>
    </row>
    <row r="17" spans="2:16" x14ac:dyDescent="0.2">
      <c r="B17" s="299"/>
      <c r="C17" s="300"/>
      <c r="D17" s="380"/>
      <c r="E17" s="380"/>
      <c r="F17" s="380"/>
      <c r="G17" s="380"/>
      <c r="H17" s="380"/>
      <c r="I17" s="380"/>
    </row>
    <row r="18" spans="2:16" x14ac:dyDescent="0.2">
      <c r="B18" s="301"/>
      <c r="C18" s="384" t="s">
        <v>426</v>
      </c>
      <c r="D18" s="381">
        <v>174030357</v>
      </c>
      <c r="E18" s="381">
        <f>+M18</f>
        <v>1192062.650000006</v>
      </c>
      <c r="F18" s="381">
        <f>+D18+E18</f>
        <v>175222419.65000001</v>
      </c>
      <c r="G18" s="381">
        <v>175222419.65000001</v>
      </c>
      <c r="H18" s="381">
        <v>174967988.68000001</v>
      </c>
      <c r="I18" s="381">
        <f>+F18-G18</f>
        <v>0</v>
      </c>
      <c r="L18" s="508">
        <f>+G18-F18</f>
        <v>0</v>
      </c>
      <c r="M18" s="375">
        <v>1192062.650000006</v>
      </c>
      <c r="N18" s="363">
        <f>+G18-H18</f>
        <v>254430.96999999881</v>
      </c>
    </row>
    <row r="19" spans="2:16" x14ac:dyDescent="0.2">
      <c r="B19" s="301"/>
      <c r="C19" s="384" t="s">
        <v>427</v>
      </c>
      <c r="D19" s="381">
        <v>158408000</v>
      </c>
      <c r="E19" s="381">
        <f t="shared" ref="E19:E65" si="0">+M19</f>
        <v>35259499.400000006</v>
      </c>
      <c r="F19" s="381">
        <f t="shared" ref="F19:F65" si="1">+D19+E19</f>
        <v>193667499.40000001</v>
      </c>
      <c r="G19" s="381">
        <v>193667499.40000001</v>
      </c>
      <c r="H19" s="381">
        <v>193667499.40000001</v>
      </c>
      <c r="I19" s="381">
        <f t="shared" ref="I19:I30" si="2">+F19-G19</f>
        <v>0</v>
      </c>
      <c r="L19" s="508">
        <f t="shared" ref="L19:L65" si="3">+G19-F19</f>
        <v>0</v>
      </c>
      <c r="M19" s="375">
        <v>35259499.400000006</v>
      </c>
      <c r="N19" s="363">
        <f t="shared" ref="N19:N65" si="4">+G19-H19</f>
        <v>0</v>
      </c>
    </row>
    <row r="20" spans="2:16" x14ac:dyDescent="0.2">
      <c r="B20" s="301"/>
      <c r="C20" s="384" t="s">
        <v>428</v>
      </c>
      <c r="D20" s="381">
        <v>590109060</v>
      </c>
      <c r="E20" s="381">
        <f t="shared" si="0"/>
        <v>20060314.129999995</v>
      </c>
      <c r="F20" s="381">
        <f t="shared" si="1"/>
        <v>610169374.13</v>
      </c>
      <c r="G20" s="381">
        <v>610169374.13</v>
      </c>
      <c r="H20" s="381">
        <v>606904393.02999997</v>
      </c>
      <c r="I20" s="381">
        <f t="shared" si="2"/>
        <v>0</v>
      </c>
      <c r="L20" s="508">
        <f t="shared" si="3"/>
        <v>0</v>
      </c>
      <c r="M20" s="375">
        <v>20060314.129999995</v>
      </c>
      <c r="N20" s="363">
        <f t="shared" si="4"/>
        <v>3264981.1000000238</v>
      </c>
    </row>
    <row r="21" spans="2:16" x14ac:dyDescent="0.2">
      <c r="B21" s="301"/>
      <c r="C21" s="384" t="s">
        <v>429</v>
      </c>
      <c r="D21" s="381">
        <v>207880256.22999999</v>
      </c>
      <c r="E21" s="381">
        <f t="shared" si="0"/>
        <v>55326005.550000012</v>
      </c>
      <c r="F21" s="381">
        <f t="shared" si="1"/>
        <v>263206261.78</v>
      </c>
      <c r="G21" s="381">
        <v>263206261.78</v>
      </c>
      <c r="H21" s="381">
        <v>243681976.93000001</v>
      </c>
      <c r="I21" s="381">
        <f t="shared" si="2"/>
        <v>0</v>
      </c>
      <c r="L21" s="508">
        <f t="shared" si="3"/>
        <v>0</v>
      </c>
      <c r="M21" s="375">
        <v>55326005.550000012</v>
      </c>
      <c r="N21" s="363">
        <f t="shared" si="4"/>
        <v>19524284.849999994</v>
      </c>
    </row>
    <row r="22" spans="2:16" x14ac:dyDescent="0.2">
      <c r="B22" s="301"/>
      <c r="C22" s="384" t="s">
        <v>430</v>
      </c>
      <c r="D22" s="381">
        <v>263836128.56</v>
      </c>
      <c r="E22" s="381">
        <f t="shared" si="0"/>
        <v>185775635.39999998</v>
      </c>
      <c r="F22" s="381">
        <f t="shared" si="1"/>
        <v>449611763.95999998</v>
      </c>
      <c r="G22" s="381">
        <v>449611763.95999998</v>
      </c>
      <c r="H22" s="381">
        <v>413690813.5</v>
      </c>
      <c r="I22" s="381">
        <f t="shared" si="2"/>
        <v>0</v>
      </c>
      <c r="L22" s="508">
        <f t="shared" si="3"/>
        <v>0</v>
      </c>
      <c r="M22" s="375">
        <v>185775635.39999998</v>
      </c>
      <c r="N22" s="363">
        <f t="shared" si="4"/>
        <v>35920950.459999979</v>
      </c>
    </row>
    <row r="23" spans="2:16" s="17" customFormat="1" x14ac:dyDescent="0.2">
      <c r="B23" s="301"/>
      <c r="C23" s="384" t="s">
        <v>389</v>
      </c>
      <c r="D23" s="381">
        <v>3107095111.6500001</v>
      </c>
      <c r="E23" s="381">
        <f t="shared" si="0"/>
        <v>2046962463.0599999</v>
      </c>
      <c r="F23" s="381">
        <f t="shared" si="1"/>
        <v>5154057574.71</v>
      </c>
      <c r="G23" s="381">
        <f>5017302234.28+136755340.43</f>
        <v>5154057574.71</v>
      </c>
      <c r="H23" s="381">
        <f>4781623812.64+135720210.02</f>
        <v>4917344022.6600008</v>
      </c>
      <c r="I23" s="381">
        <f t="shared" si="2"/>
        <v>0</v>
      </c>
      <c r="L23" s="508">
        <f t="shared" si="3"/>
        <v>0</v>
      </c>
      <c r="M23" s="646">
        <v>2046962463.0599999</v>
      </c>
      <c r="N23" s="680">
        <f t="shared" si="4"/>
        <v>236713552.04999924</v>
      </c>
      <c r="O23" s="681">
        <v>135720210.019981</v>
      </c>
      <c r="P23" s="17" t="s">
        <v>832</v>
      </c>
    </row>
    <row r="24" spans="2:16" x14ac:dyDescent="0.2">
      <c r="B24" s="301"/>
      <c r="C24" s="384" t="s">
        <v>431</v>
      </c>
      <c r="D24" s="381">
        <v>136620121.99000001</v>
      </c>
      <c r="E24" s="381">
        <f t="shared" si="0"/>
        <v>248546100.81999999</v>
      </c>
      <c r="F24" s="381">
        <f t="shared" si="1"/>
        <v>385166222.81</v>
      </c>
      <c r="G24" s="381">
        <v>385166222.81</v>
      </c>
      <c r="H24" s="381">
        <v>250579024.63999999</v>
      </c>
      <c r="I24" s="381">
        <f t="shared" si="2"/>
        <v>0</v>
      </c>
      <c r="L24" s="508">
        <f t="shared" si="3"/>
        <v>0</v>
      </c>
      <c r="M24" s="375">
        <v>248546100.81999999</v>
      </c>
      <c r="N24" s="363">
        <f t="shared" si="4"/>
        <v>134587198.17000002</v>
      </c>
    </row>
    <row r="25" spans="2:16" x14ac:dyDescent="0.2">
      <c r="B25" s="301"/>
      <c r="C25" s="384" t="s">
        <v>432</v>
      </c>
      <c r="D25" s="381">
        <v>19228269956.369999</v>
      </c>
      <c r="E25" s="381">
        <f t="shared" si="0"/>
        <v>-1418121376.3899994</v>
      </c>
      <c r="F25" s="381">
        <f t="shared" si="1"/>
        <v>17810148579.98</v>
      </c>
      <c r="G25" s="381">
        <v>17810148579.98</v>
      </c>
      <c r="H25" s="381">
        <v>17709606927.970001</v>
      </c>
      <c r="I25" s="381">
        <f t="shared" si="2"/>
        <v>0</v>
      </c>
      <c r="L25" s="508">
        <f t="shared" si="3"/>
        <v>0</v>
      </c>
      <c r="M25" s="375">
        <v>-1418121376.3899994</v>
      </c>
      <c r="N25" s="363">
        <f t="shared" si="4"/>
        <v>100541652.00999832</v>
      </c>
    </row>
    <row r="26" spans="2:16" x14ac:dyDescent="0.2">
      <c r="B26" s="301"/>
      <c r="C26" s="384" t="s">
        <v>433</v>
      </c>
      <c r="D26" s="381">
        <v>976011613.25</v>
      </c>
      <c r="E26" s="381">
        <f t="shared" si="0"/>
        <v>474170931.0999999</v>
      </c>
      <c r="F26" s="381">
        <f t="shared" si="1"/>
        <v>1450182544.3499999</v>
      </c>
      <c r="G26" s="381">
        <v>1450182544.3499999</v>
      </c>
      <c r="H26" s="381">
        <v>1137203454.6800001</v>
      </c>
      <c r="I26" s="381">
        <f t="shared" si="2"/>
        <v>0</v>
      </c>
      <c r="L26" s="508">
        <f t="shared" si="3"/>
        <v>0</v>
      </c>
      <c r="M26" s="375">
        <v>474170931.0999999</v>
      </c>
      <c r="N26" s="363">
        <f t="shared" si="4"/>
        <v>312979089.66999984</v>
      </c>
    </row>
    <row r="27" spans="2:16" x14ac:dyDescent="0.2">
      <c r="B27" s="301"/>
      <c r="C27" s="384" t="s">
        <v>434</v>
      </c>
      <c r="D27" s="386">
        <v>1049063989</v>
      </c>
      <c r="E27" s="381">
        <f t="shared" si="0"/>
        <v>289571220.95000005</v>
      </c>
      <c r="F27" s="381">
        <f t="shared" si="1"/>
        <v>1338635209.95</v>
      </c>
      <c r="G27" s="381">
        <v>1338635209.95</v>
      </c>
      <c r="H27" s="381">
        <v>1259854956.4200001</v>
      </c>
      <c r="I27" s="381">
        <f t="shared" si="2"/>
        <v>0</v>
      </c>
      <c r="L27" s="508">
        <f t="shared" si="3"/>
        <v>0</v>
      </c>
      <c r="M27" s="375">
        <v>289571220.95000005</v>
      </c>
      <c r="N27" s="363">
        <f t="shared" si="4"/>
        <v>78780253.529999971</v>
      </c>
    </row>
    <row r="28" spans="2:16" x14ac:dyDescent="0.2">
      <c r="B28" s="301"/>
      <c r="C28" s="384" t="s">
        <v>435</v>
      </c>
      <c r="D28" s="381">
        <v>107297627.44</v>
      </c>
      <c r="E28" s="381">
        <f t="shared" si="0"/>
        <v>196546549.18000001</v>
      </c>
      <c r="F28" s="381">
        <f t="shared" si="1"/>
        <v>303844176.62</v>
      </c>
      <c r="G28" s="381">
        <v>303844176.62</v>
      </c>
      <c r="H28" s="381">
        <v>240982211.27000001</v>
      </c>
      <c r="I28" s="381">
        <f t="shared" si="2"/>
        <v>0</v>
      </c>
      <c r="L28" s="508">
        <f t="shared" si="3"/>
        <v>0</v>
      </c>
      <c r="M28" s="375">
        <v>196546549.18000001</v>
      </c>
      <c r="N28" s="363">
        <f t="shared" si="4"/>
        <v>62861965.349999994</v>
      </c>
    </row>
    <row r="29" spans="2:16" x14ac:dyDescent="0.2">
      <c r="B29" s="301"/>
      <c r="C29" s="384" t="s">
        <v>436</v>
      </c>
      <c r="D29" s="381">
        <v>3664856163.5999999</v>
      </c>
      <c r="E29" s="381">
        <f t="shared" si="0"/>
        <v>-2020964043.27</v>
      </c>
      <c r="F29" s="381">
        <f t="shared" si="1"/>
        <v>1643892120.3299999</v>
      </c>
      <c r="G29" s="381">
        <v>1643892120.3299999</v>
      </c>
      <c r="H29" s="381">
        <v>1438827747.3099999</v>
      </c>
      <c r="I29" s="381">
        <f t="shared" si="2"/>
        <v>0</v>
      </c>
      <c r="L29" s="508">
        <f t="shared" si="3"/>
        <v>0</v>
      </c>
      <c r="M29" s="375">
        <v>-2020964043.27</v>
      </c>
      <c r="N29" s="363">
        <f t="shared" si="4"/>
        <v>205064373.01999998</v>
      </c>
    </row>
    <row r="30" spans="2:16" x14ac:dyDescent="0.2">
      <c r="B30" s="301"/>
      <c r="C30" s="384" t="s">
        <v>437</v>
      </c>
      <c r="D30" s="381">
        <v>324966025.94999999</v>
      </c>
      <c r="E30" s="381">
        <f t="shared" si="0"/>
        <v>-152121576.00999999</v>
      </c>
      <c r="F30" s="381">
        <f t="shared" si="1"/>
        <v>172844449.94</v>
      </c>
      <c r="G30" s="381">
        <v>172844449.94</v>
      </c>
      <c r="H30" s="381">
        <v>137769166.80000001</v>
      </c>
      <c r="I30" s="381">
        <f t="shared" si="2"/>
        <v>0</v>
      </c>
      <c r="L30" s="508">
        <f t="shared" si="3"/>
        <v>0</v>
      </c>
      <c r="M30" s="375">
        <v>-152121576.00999999</v>
      </c>
      <c r="N30" s="363">
        <f t="shared" si="4"/>
        <v>35075283.139999986</v>
      </c>
    </row>
    <row r="31" spans="2:16" x14ac:dyDescent="0.2">
      <c r="B31" s="301"/>
      <c r="C31" s="384" t="s">
        <v>438</v>
      </c>
      <c r="D31" s="381">
        <v>50552914.200000003</v>
      </c>
      <c r="E31" s="381">
        <f t="shared" si="0"/>
        <v>29445620.340000004</v>
      </c>
      <c r="F31" s="381">
        <f t="shared" si="1"/>
        <v>79998534.540000007</v>
      </c>
      <c r="G31" s="381">
        <v>79998534.540000007</v>
      </c>
      <c r="H31" s="381">
        <v>73623361.5</v>
      </c>
      <c r="I31" s="381">
        <f t="shared" ref="I31:I64" si="5">+F31-G31</f>
        <v>0</v>
      </c>
      <c r="L31" s="508">
        <f t="shared" si="3"/>
        <v>0</v>
      </c>
      <c r="M31" s="375">
        <v>29445620.340000004</v>
      </c>
      <c r="N31" s="363">
        <f t="shared" si="4"/>
        <v>6375173.0400000066</v>
      </c>
    </row>
    <row r="32" spans="2:16" x14ac:dyDescent="0.2">
      <c r="B32" s="301"/>
      <c r="C32" s="384" t="s">
        <v>439</v>
      </c>
      <c r="D32" s="381">
        <v>627716556.44000006</v>
      </c>
      <c r="E32" s="381">
        <f t="shared" si="0"/>
        <v>71628333.099999905</v>
      </c>
      <c r="F32" s="381">
        <f t="shared" si="1"/>
        <v>699344889.53999996</v>
      </c>
      <c r="G32" s="381">
        <v>699344889.53999996</v>
      </c>
      <c r="H32" s="381">
        <v>678901710.01999998</v>
      </c>
      <c r="I32" s="381">
        <f t="shared" si="5"/>
        <v>0</v>
      </c>
      <c r="L32" s="508">
        <f t="shared" si="3"/>
        <v>0</v>
      </c>
      <c r="M32" s="375">
        <v>71628333.099999905</v>
      </c>
      <c r="N32" s="363">
        <f t="shared" si="4"/>
        <v>20443179.519999981</v>
      </c>
    </row>
    <row r="33" spans="2:15" ht="15" customHeight="1" x14ac:dyDescent="0.2">
      <c r="B33" s="301"/>
      <c r="C33" s="384" t="s">
        <v>440</v>
      </c>
      <c r="D33" s="381">
        <v>14051272.77</v>
      </c>
      <c r="E33" s="381">
        <f t="shared" si="0"/>
        <v>400287.95000000112</v>
      </c>
      <c r="F33" s="381">
        <f t="shared" si="1"/>
        <v>14451560.720000001</v>
      </c>
      <c r="G33" s="381">
        <v>14451560.720000001</v>
      </c>
      <c r="H33" s="381">
        <v>14373010.710000001</v>
      </c>
      <c r="I33" s="381">
        <f t="shared" si="5"/>
        <v>0</v>
      </c>
      <c r="L33" s="508">
        <f t="shared" si="3"/>
        <v>0</v>
      </c>
      <c r="M33" s="375">
        <v>400287.95000000112</v>
      </c>
      <c r="N33" s="363">
        <f t="shared" si="4"/>
        <v>78550.009999999776</v>
      </c>
    </row>
    <row r="34" spans="2:15" ht="15.75" customHeight="1" x14ac:dyDescent="0.2">
      <c r="B34" s="301"/>
      <c r="C34" s="384" t="s">
        <v>441</v>
      </c>
      <c r="D34" s="381">
        <v>61859753.560000002</v>
      </c>
      <c r="E34" s="381">
        <f t="shared" si="0"/>
        <v>12380319.340000004</v>
      </c>
      <c r="F34" s="381">
        <f t="shared" si="1"/>
        <v>74240072.900000006</v>
      </c>
      <c r="G34" s="381">
        <v>74240072.900000006</v>
      </c>
      <c r="H34" s="381">
        <v>70029321.109999999</v>
      </c>
      <c r="I34" s="381">
        <f t="shared" si="5"/>
        <v>0</v>
      </c>
      <c r="L34" s="508">
        <f t="shared" si="3"/>
        <v>0</v>
      </c>
      <c r="M34" s="375">
        <v>12380319.340000004</v>
      </c>
      <c r="N34" s="363">
        <f t="shared" si="4"/>
        <v>4210751.7900000066</v>
      </c>
    </row>
    <row r="35" spans="2:15" x14ac:dyDescent="0.2">
      <c r="B35" s="301"/>
      <c r="C35" s="384" t="s">
        <v>442</v>
      </c>
      <c r="D35" s="381">
        <v>0</v>
      </c>
      <c r="E35" s="381">
        <f t="shared" si="0"/>
        <v>109579.39</v>
      </c>
      <c r="F35" s="381">
        <f t="shared" si="1"/>
        <v>109579.39</v>
      </c>
      <c r="G35" s="381">
        <v>109579.39</v>
      </c>
      <c r="H35" s="381">
        <f>789079.39-679500</f>
        <v>109579.39000000001</v>
      </c>
      <c r="I35" s="381">
        <f t="shared" si="5"/>
        <v>0</v>
      </c>
      <c r="L35" s="508">
        <f t="shared" si="3"/>
        <v>0</v>
      </c>
      <c r="M35" s="375">
        <v>109579.39</v>
      </c>
      <c r="N35" s="680">
        <f t="shared" si="4"/>
        <v>0</v>
      </c>
      <c r="O35" s="680">
        <v>-679500</v>
      </c>
    </row>
    <row r="36" spans="2:15" x14ac:dyDescent="0.2">
      <c r="B36" s="301"/>
      <c r="C36" s="384" t="s">
        <v>443</v>
      </c>
      <c r="D36" s="381">
        <v>287978360.81</v>
      </c>
      <c r="E36" s="381">
        <f t="shared" si="0"/>
        <v>88735578.74000001</v>
      </c>
      <c r="F36" s="381">
        <f t="shared" si="1"/>
        <v>376713939.55000001</v>
      </c>
      <c r="G36" s="381">
        <v>376713939.55000001</v>
      </c>
      <c r="H36" s="381">
        <v>344390419.31</v>
      </c>
      <c r="I36" s="381">
        <f t="shared" si="5"/>
        <v>0</v>
      </c>
      <c r="L36" s="508">
        <f t="shared" si="3"/>
        <v>0</v>
      </c>
      <c r="M36" s="375">
        <v>88735578.74000001</v>
      </c>
      <c r="N36" s="363">
        <f t="shared" si="4"/>
        <v>32323520.24000001</v>
      </c>
    </row>
    <row r="37" spans="2:15" x14ac:dyDescent="0.2">
      <c r="B37" s="301"/>
      <c r="C37" s="384" t="s">
        <v>444</v>
      </c>
      <c r="D37" s="381">
        <v>405754145.38</v>
      </c>
      <c r="E37" s="381">
        <f t="shared" si="0"/>
        <v>-339904300.86000001</v>
      </c>
      <c r="F37" s="381">
        <f t="shared" si="1"/>
        <v>65849844.519999981</v>
      </c>
      <c r="G37" s="381">
        <v>65849844.520000003</v>
      </c>
      <c r="H37" s="381">
        <v>61050278.109999999</v>
      </c>
      <c r="I37" s="381">
        <f t="shared" si="5"/>
        <v>0</v>
      </c>
      <c r="L37" s="508">
        <f t="shared" si="3"/>
        <v>0</v>
      </c>
      <c r="M37" s="375">
        <v>-339904300.86000001</v>
      </c>
      <c r="N37" s="363">
        <f t="shared" si="4"/>
        <v>4799566.4100000039</v>
      </c>
    </row>
    <row r="38" spans="2:15" x14ac:dyDescent="0.2">
      <c r="B38" s="301"/>
      <c r="C38" s="384" t="s">
        <v>445</v>
      </c>
      <c r="D38" s="381">
        <v>134690055.63</v>
      </c>
      <c r="E38" s="381">
        <f t="shared" si="0"/>
        <v>61142877.340000004</v>
      </c>
      <c r="F38" s="381">
        <f t="shared" si="1"/>
        <v>195832932.97</v>
      </c>
      <c r="G38" s="381">
        <v>195832932.97</v>
      </c>
      <c r="H38" s="381">
        <v>171641112.88</v>
      </c>
      <c r="I38" s="381">
        <f t="shared" si="5"/>
        <v>0</v>
      </c>
      <c r="L38" s="508">
        <f t="shared" si="3"/>
        <v>0</v>
      </c>
      <c r="M38" s="375">
        <v>61142877.340000004</v>
      </c>
      <c r="N38" s="363">
        <f t="shared" si="4"/>
        <v>24191820.090000004</v>
      </c>
    </row>
    <row r="39" spans="2:15" x14ac:dyDescent="0.2">
      <c r="B39" s="301"/>
      <c r="C39" s="384" t="s">
        <v>446</v>
      </c>
      <c r="D39" s="381">
        <v>20916556.390000001</v>
      </c>
      <c r="E39" s="381">
        <f t="shared" si="0"/>
        <v>8306533.4299999997</v>
      </c>
      <c r="F39" s="381">
        <f t="shared" si="1"/>
        <v>29223089.82</v>
      </c>
      <c r="G39" s="381">
        <v>29223089.82</v>
      </c>
      <c r="H39" s="381">
        <v>25389902.309999999</v>
      </c>
      <c r="I39" s="381">
        <f t="shared" si="5"/>
        <v>0</v>
      </c>
      <c r="L39" s="508">
        <f t="shared" si="3"/>
        <v>0</v>
      </c>
      <c r="M39" s="375">
        <v>8306533.4299999997</v>
      </c>
      <c r="N39" s="363">
        <f t="shared" si="4"/>
        <v>3833187.5100000016</v>
      </c>
    </row>
    <row r="40" spans="2:15" x14ac:dyDescent="0.2">
      <c r="B40" s="301"/>
      <c r="C40" s="384" t="s">
        <v>447</v>
      </c>
      <c r="D40" s="381">
        <v>30291915.550000001</v>
      </c>
      <c r="E40" s="381">
        <f t="shared" si="0"/>
        <v>29114611.639999997</v>
      </c>
      <c r="F40" s="381">
        <f t="shared" si="1"/>
        <v>59406527.189999998</v>
      </c>
      <c r="G40" s="381">
        <v>59406527.189999998</v>
      </c>
      <c r="H40" s="381">
        <v>58918341.18</v>
      </c>
      <c r="I40" s="381">
        <f t="shared" si="5"/>
        <v>0</v>
      </c>
      <c r="L40" s="508">
        <f t="shared" si="3"/>
        <v>0</v>
      </c>
      <c r="M40" s="375">
        <v>29114611.639999997</v>
      </c>
      <c r="N40" s="363">
        <f t="shared" si="4"/>
        <v>488186.00999999791</v>
      </c>
    </row>
    <row r="41" spans="2:15" x14ac:dyDescent="0.2">
      <c r="B41" s="301"/>
      <c r="C41" s="384" t="s">
        <v>448</v>
      </c>
      <c r="D41" s="386">
        <v>17971565.010000002</v>
      </c>
      <c r="E41" s="381">
        <f t="shared" si="0"/>
        <v>-283908.08999999985</v>
      </c>
      <c r="F41" s="381">
        <f t="shared" si="1"/>
        <v>17687656.920000002</v>
      </c>
      <c r="G41" s="381">
        <v>17687656.920000002</v>
      </c>
      <c r="H41" s="381">
        <v>17124763.059999999</v>
      </c>
      <c r="I41" s="381">
        <f t="shared" si="5"/>
        <v>0</v>
      </c>
      <c r="L41" s="508">
        <f t="shared" si="3"/>
        <v>0</v>
      </c>
      <c r="M41" s="375">
        <v>-283908.08999999985</v>
      </c>
      <c r="N41" s="363">
        <f t="shared" si="4"/>
        <v>562893.86000000313</v>
      </c>
    </row>
    <row r="42" spans="2:15" s="17" customFormat="1" x14ac:dyDescent="0.2">
      <c r="B42" s="301"/>
      <c r="C42" s="384" t="s">
        <v>449</v>
      </c>
      <c r="D42" s="381">
        <v>5379927672.6999998</v>
      </c>
      <c r="E42" s="381">
        <f t="shared" si="0"/>
        <v>1216287547.3500004</v>
      </c>
      <c r="F42" s="381">
        <f t="shared" si="1"/>
        <v>6596215220.0500002</v>
      </c>
      <c r="G42" s="381">
        <v>6596215220.0500002</v>
      </c>
      <c r="H42" s="381">
        <v>6351763439.4099998</v>
      </c>
      <c r="I42" s="381">
        <f t="shared" si="5"/>
        <v>0</v>
      </c>
      <c r="L42" s="508">
        <f t="shared" si="3"/>
        <v>0</v>
      </c>
      <c r="M42" s="646">
        <v>1216287547.3500004</v>
      </c>
      <c r="N42" s="363">
        <f t="shared" si="4"/>
        <v>244451780.64000034</v>
      </c>
    </row>
    <row r="43" spans="2:15" x14ac:dyDescent="0.2">
      <c r="B43" s="301"/>
      <c r="C43" s="384" t="s">
        <v>450</v>
      </c>
      <c r="D43" s="381">
        <v>527598265.58999997</v>
      </c>
      <c r="E43" s="381">
        <f t="shared" si="0"/>
        <v>26943430.209999979</v>
      </c>
      <c r="F43" s="381">
        <f t="shared" si="1"/>
        <v>554541695.79999995</v>
      </c>
      <c r="G43" s="381">
        <v>554541695.79999995</v>
      </c>
      <c r="H43" s="381">
        <v>513288298.91000003</v>
      </c>
      <c r="I43" s="381">
        <f t="shared" si="5"/>
        <v>0</v>
      </c>
      <c r="L43" s="508">
        <f t="shared" si="3"/>
        <v>0</v>
      </c>
      <c r="M43" s="375">
        <v>26943430.209999979</v>
      </c>
      <c r="N43" s="363">
        <f t="shared" si="4"/>
        <v>41253396.889999926</v>
      </c>
    </row>
    <row r="44" spans="2:15" x14ac:dyDescent="0.2">
      <c r="B44" s="301"/>
      <c r="C44" s="384" t="s">
        <v>451</v>
      </c>
      <c r="D44" s="381">
        <v>0</v>
      </c>
      <c r="E44" s="381">
        <f t="shared" si="0"/>
        <v>64746378.439999998</v>
      </c>
      <c r="F44" s="381">
        <f t="shared" si="1"/>
        <v>64746378.439999998</v>
      </c>
      <c r="G44" s="381">
        <v>64746378.439999998</v>
      </c>
      <c r="H44" s="381">
        <v>57450231.490000002</v>
      </c>
      <c r="I44" s="381">
        <f t="shared" si="5"/>
        <v>0</v>
      </c>
      <c r="L44" s="508">
        <f t="shared" si="3"/>
        <v>0</v>
      </c>
      <c r="M44" s="375">
        <v>64746378.439999998</v>
      </c>
      <c r="N44" s="363">
        <f t="shared" si="4"/>
        <v>7296146.9499999955</v>
      </c>
    </row>
    <row r="45" spans="2:15" x14ac:dyDescent="0.2">
      <c r="B45" s="301"/>
      <c r="C45" s="384" t="s">
        <v>452</v>
      </c>
      <c r="D45" s="381">
        <v>108990727.91</v>
      </c>
      <c r="E45" s="381">
        <f t="shared" si="0"/>
        <v>27627171.060000002</v>
      </c>
      <c r="F45" s="381">
        <f t="shared" si="1"/>
        <v>136617898.97</v>
      </c>
      <c r="G45" s="381">
        <v>136617898.97</v>
      </c>
      <c r="H45" s="381">
        <v>133739179.20999999</v>
      </c>
      <c r="I45" s="381">
        <f t="shared" si="5"/>
        <v>0</v>
      </c>
      <c r="L45" s="508">
        <f t="shared" si="3"/>
        <v>0</v>
      </c>
      <c r="M45" s="375">
        <v>27627171.060000002</v>
      </c>
      <c r="N45" s="363">
        <f t="shared" si="4"/>
        <v>2878719.7600000054</v>
      </c>
    </row>
    <row r="46" spans="2:15" x14ac:dyDescent="0.2">
      <c r="B46" s="301"/>
      <c r="C46" s="384" t="s">
        <v>453</v>
      </c>
      <c r="D46" s="381">
        <v>24113914.710000001</v>
      </c>
      <c r="E46" s="381">
        <f t="shared" si="0"/>
        <v>6733084.8299999982</v>
      </c>
      <c r="F46" s="381">
        <f t="shared" si="1"/>
        <v>30846999.539999999</v>
      </c>
      <c r="G46" s="381">
        <v>30846999.539999999</v>
      </c>
      <c r="H46" s="381">
        <v>29487606.800000001</v>
      </c>
      <c r="I46" s="381">
        <f t="shared" si="5"/>
        <v>0</v>
      </c>
      <c r="L46" s="508">
        <f t="shared" si="3"/>
        <v>0</v>
      </c>
      <c r="M46" s="375">
        <v>6733084.8299999982</v>
      </c>
      <c r="N46" s="363">
        <f t="shared" si="4"/>
        <v>1359392.7399999984</v>
      </c>
    </row>
    <row r="47" spans="2:15" x14ac:dyDescent="0.2">
      <c r="B47" s="301"/>
      <c r="C47" s="384" t="s">
        <v>454</v>
      </c>
      <c r="D47" s="381">
        <v>15791128.880000001</v>
      </c>
      <c r="E47" s="381">
        <f t="shared" si="0"/>
        <v>960732.62999999896</v>
      </c>
      <c r="F47" s="381">
        <f t="shared" si="1"/>
        <v>16751861.51</v>
      </c>
      <c r="G47" s="381">
        <v>16751861.51</v>
      </c>
      <c r="H47" s="381">
        <v>16440551.289999999</v>
      </c>
      <c r="I47" s="381">
        <f t="shared" si="5"/>
        <v>0</v>
      </c>
      <c r="L47" s="508">
        <f t="shared" si="3"/>
        <v>0</v>
      </c>
      <c r="M47" s="375">
        <v>960732.62999999896</v>
      </c>
      <c r="N47" s="363">
        <f t="shared" si="4"/>
        <v>311310.22000000067</v>
      </c>
    </row>
    <row r="48" spans="2:15" ht="15" customHeight="1" x14ac:dyDescent="0.2">
      <c r="B48" s="301"/>
      <c r="C48" s="384" t="s">
        <v>455</v>
      </c>
      <c r="D48" s="381">
        <v>159126000</v>
      </c>
      <c r="E48" s="381">
        <f t="shared" si="0"/>
        <v>347892950.19999999</v>
      </c>
      <c r="F48" s="381">
        <f t="shared" si="1"/>
        <v>507018950.19999999</v>
      </c>
      <c r="G48" s="381">
        <v>507018950.19999999</v>
      </c>
      <c r="H48" s="381">
        <v>466813430.54000002</v>
      </c>
      <c r="I48" s="381">
        <f t="shared" si="5"/>
        <v>0</v>
      </c>
      <c r="L48" s="508">
        <f t="shared" si="3"/>
        <v>0</v>
      </c>
      <c r="M48" s="375">
        <v>347892950.19999999</v>
      </c>
      <c r="N48" s="363">
        <f t="shared" si="4"/>
        <v>40205519.659999967</v>
      </c>
    </row>
    <row r="49" spans="2:14" x14ac:dyDescent="0.2">
      <c r="B49" s="301"/>
      <c r="C49" s="384" t="s">
        <v>456</v>
      </c>
      <c r="D49" s="381">
        <v>1783014282</v>
      </c>
      <c r="E49" s="381">
        <f t="shared" si="0"/>
        <v>480789983.84000015</v>
      </c>
      <c r="F49" s="381">
        <f t="shared" si="1"/>
        <v>2263804265.8400002</v>
      </c>
      <c r="G49" s="381">
        <v>2263804265.8400002</v>
      </c>
      <c r="H49" s="381">
        <v>2260781484.6900001</v>
      </c>
      <c r="I49" s="381">
        <f t="shared" si="5"/>
        <v>0</v>
      </c>
      <c r="L49" s="508">
        <f t="shared" si="3"/>
        <v>0</v>
      </c>
      <c r="M49" s="375">
        <v>480789983.84000015</v>
      </c>
      <c r="N49" s="363">
        <f t="shared" si="4"/>
        <v>3022781.1500000954</v>
      </c>
    </row>
    <row r="50" spans="2:14" x14ac:dyDescent="0.2">
      <c r="B50" s="301"/>
      <c r="C50" s="384" t="s">
        <v>457</v>
      </c>
      <c r="D50" s="381">
        <v>13661469.08</v>
      </c>
      <c r="E50" s="381">
        <f t="shared" si="0"/>
        <v>298983.3900000006</v>
      </c>
      <c r="F50" s="381">
        <f t="shared" si="1"/>
        <v>13960452.470000001</v>
      </c>
      <c r="G50" s="381">
        <v>13960452.470000001</v>
      </c>
      <c r="H50" s="381">
        <v>13931640.890000001</v>
      </c>
      <c r="I50" s="381">
        <f t="shared" si="5"/>
        <v>0</v>
      </c>
      <c r="L50" s="508">
        <f t="shared" si="3"/>
        <v>0</v>
      </c>
      <c r="M50" s="375">
        <v>298983.3900000006</v>
      </c>
      <c r="N50" s="363">
        <f t="shared" si="4"/>
        <v>28811.580000000075</v>
      </c>
    </row>
    <row r="51" spans="2:14" x14ac:dyDescent="0.2">
      <c r="B51" s="301"/>
      <c r="C51" s="384" t="s">
        <v>458</v>
      </c>
      <c r="D51" s="381">
        <v>0</v>
      </c>
      <c r="E51" s="381">
        <f t="shared" si="0"/>
        <v>142365785.33000001</v>
      </c>
      <c r="F51" s="381">
        <f t="shared" si="1"/>
        <v>142365785.33000001</v>
      </c>
      <c r="G51" s="381">
        <v>142365785.33000001</v>
      </c>
      <c r="H51" s="381">
        <v>142365785.33000001</v>
      </c>
      <c r="I51" s="381">
        <f t="shared" si="5"/>
        <v>0</v>
      </c>
      <c r="L51" s="508">
        <f t="shared" si="3"/>
        <v>0</v>
      </c>
      <c r="M51" s="375">
        <v>142365785.33000001</v>
      </c>
      <c r="N51" s="363">
        <f t="shared" si="4"/>
        <v>0</v>
      </c>
    </row>
    <row r="52" spans="2:14" x14ac:dyDescent="0.2">
      <c r="B52" s="301"/>
      <c r="C52" s="384" t="s">
        <v>459</v>
      </c>
      <c r="D52" s="386">
        <v>0</v>
      </c>
      <c r="E52" s="381">
        <f t="shared" si="0"/>
        <v>74871388.180000007</v>
      </c>
      <c r="F52" s="381">
        <f t="shared" si="1"/>
        <v>74871388.180000007</v>
      </c>
      <c r="G52" s="381">
        <v>74871388.180000007</v>
      </c>
      <c r="H52" s="381">
        <v>74871388.180000007</v>
      </c>
      <c r="I52" s="381">
        <f t="shared" si="5"/>
        <v>0</v>
      </c>
      <c r="L52" s="508">
        <f t="shared" si="3"/>
        <v>0</v>
      </c>
      <c r="M52" s="375">
        <v>74871388.180000007</v>
      </c>
      <c r="N52" s="363">
        <f t="shared" si="4"/>
        <v>0</v>
      </c>
    </row>
    <row r="53" spans="2:14" x14ac:dyDescent="0.2">
      <c r="B53" s="301"/>
      <c r="C53" s="384" t="s">
        <v>460</v>
      </c>
      <c r="D53" s="381">
        <v>3054210.54</v>
      </c>
      <c r="E53" s="381">
        <f t="shared" si="0"/>
        <v>60322.779999999795</v>
      </c>
      <c r="F53" s="381">
        <f t="shared" si="1"/>
        <v>3114533.32</v>
      </c>
      <c r="G53" s="381">
        <v>3114533.32</v>
      </c>
      <c r="H53" s="381">
        <v>3103909.26</v>
      </c>
      <c r="I53" s="381">
        <f t="shared" si="5"/>
        <v>0</v>
      </c>
      <c r="L53" s="508">
        <f t="shared" si="3"/>
        <v>0</v>
      </c>
      <c r="M53" s="375">
        <v>60322.779999999795</v>
      </c>
      <c r="N53" s="363">
        <f t="shared" si="4"/>
        <v>10624.060000000056</v>
      </c>
    </row>
    <row r="54" spans="2:14" x14ac:dyDescent="0.2">
      <c r="B54" s="301"/>
      <c r="C54" s="384" t="s">
        <v>461</v>
      </c>
      <c r="D54" s="381">
        <v>12173702.039999999</v>
      </c>
      <c r="E54" s="381">
        <f t="shared" si="0"/>
        <v>2421533.7200000007</v>
      </c>
      <c r="F54" s="381">
        <f t="shared" si="1"/>
        <v>14595235.76</v>
      </c>
      <c r="G54" s="381">
        <v>14595235.76</v>
      </c>
      <c r="H54" s="381">
        <v>14498384.82</v>
      </c>
      <c r="I54" s="381">
        <f t="shared" si="5"/>
        <v>0</v>
      </c>
      <c r="L54" s="508">
        <f t="shared" si="3"/>
        <v>0</v>
      </c>
      <c r="M54" s="375">
        <v>2421533.7200000007</v>
      </c>
      <c r="N54" s="363">
        <f t="shared" si="4"/>
        <v>96850.939999999478</v>
      </c>
    </row>
    <row r="55" spans="2:14" x14ac:dyDescent="0.2">
      <c r="B55" s="301"/>
      <c r="C55" s="384" t="s">
        <v>472</v>
      </c>
      <c r="D55" s="386">
        <v>25530250.899999999</v>
      </c>
      <c r="E55" s="381">
        <f t="shared" si="0"/>
        <v>-10128695.229999999</v>
      </c>
      <c r="F55" s="381">
        <f t="shared" si="1"/>
        <v>15401555.67</v>
      </c>
      <c r="G55" s="381">
        <v>15401555.67</v>
      </c>
      <c r="H55" s="381">
        <v>15320851.68</v>
      </c>
      <c r="I55" s="381">
        <f t="shared" ref="I55" si="6">+F55-G55</f>
        <v>0</v>
      </c>
      <c r="L55" s="508">
        <f t="shared" si="3"/>
        <v>0</v>
      </c>
      <c r="M55" s="375">
        <v>-10128695.229999999</v>
      </c>
      <c r="N55" s="363">
        <f t="shared" si="4"/>
        <v>80703.990000000224</v>
      </c>
    </row>
    <row r="56" spans="2:14" x14ac:dyDescent="0.2">
      <c r="B56" s="301"/>
      <c r="C56" s="384" t="s">
        <v>462</v>
      </c>
      <c r="D56" s="381">
        <v>15869675.039999999</v>
      </c>
      <c r="E56" s="381">
        <f t="shared" si="0"/>
        <v>47696108.689999998</v>
      </c>
      <c r="F56" s="381">
        <f t="shared" si="1"/>
        <v>63565783.729999997</v>
      </c>
      <c r="G56" s="381">
        <v>63565783.729999997</v>
      </c>
      <c r="H56" s="381">
        <v>47192383.729999997</v>
      </c>
      <c r="I56" s="381">
        <f t="shared" si="5"/>
        <v>0</v>
      </c>
      <c r="L56" s="508">
        <f t="shared" si="3"/>
        <v>0</v>
      </c>
      <c r="M56" s="375">
        <v>47696108.689999998</v>
      </c>
      <c r="N56" s="363">
        <f t="shared" si="4"/>
        <v>16373400</v>
      </c>
    </row>
    <row r="57" spans="2:14" x14ac:dyDescent="0.2">
      <c r="B57" s="301"/>
      <c r="C57" s="384" t="s">
        <v>463</v>
      </c>
      <c r="D57" s="381">
        <v>0</v>
      </c>
      <c r="E57" s="381">
        <f t="shared" si="0"/>
        <v>36467381.640000001</v>
      </c>
      <c r="F57" s="381">
        <f t="shared" si="1"/>
        <v>36467381.640000001</v>
      </c>
      <c r="G57" s="381">
        <v>36467381.640000001</v>
      </c>
      <c r="H57" s="381">
        <v>36467381.640000001</v>
      </c>
      <c r="I57" s="381">
        <f t="shared" si="5"/>
        <v>0</v>
      </c>
      <c r="L57" s="508">
        <f t="shared" si="3"/>
        <v>0</v>
      </c>
      <c r="M57" s="375">
        <v>36467381.640000001</v>
      </c>
      <c r="N57" s="363">
        <f t="shared" si="4"/>
        <v>0</v>
      </c>
    </row>
    <row r="58" spans="2:14" x14ac:dyDescent="0.2">
      <c r="B58" s="301"/>
      <c r="C58" s="384" t="s">
        <v>473</v>
      </c>
      <c r="D58" s="381">
        <v>9823874.0399999991</v>
      </c>
      <c r="E58" s="381">
        <f t="shared" si="0"/>
        <v>2970167.6300000008</v>
      </c>
      <c r="F58" s="381">
        <f t="shared" si="1"/>
        <v>12794041.67</v>
      </c>
      <c r="G58" s="381">
        <v>12794041.67</v>
      </c>
      <c r="H58" s="381">
        <v>12722347.960000001</v>
      </c>
      <c r="I58" s="381">
        <f t="shared" ref="I58:I60" si="7">+F58-G58</f>
        <v>0</v>
      </c>
      <c r="L58" s="508">
        <f t="shared" si="3"/>
        <v>0</v>
      </c>
      <c r="M58" s="375">
        <v>2970167.6300000008</v>
      </c>
      <c r="N58" s="363">
        <f t="shared" si="4"/>
        <v>71693.709999999031</v>
      </c>
    </row>
    <row r="59" spans="2:14" x14ac:dyDescent="0.2">
      <c r="B59" s="301"/>
      <c r="C59" s="384" t="s">
        <v>521</v>
      </c>
      <c r="D59" s="381">
        <v>17775526.149999999</v>
      </c>
      <c r="E59" s="381">
        <f t="shared" si="0"/>
        <v>-3810737.0699999984</v>
      </c>
      <c r="F59" s="381">
        <f t="shared" si="1"/>
        <v>13964789.08</v>
      </c>
      <c r="G59" s="381">
        <v>13964789.08</v>
      </c>
      <c r="H59" s="381">
        <v>13929980.050000001</v>
      </c>
      <c r="I59" s="381">
        <f t="shared" si="7"/>
        <v>0</v>
      </c>
      <c r="L59" s="508">
        <f t="shared" si="3"/>
        <v>0</v>
      </c>
      <c r="M59" s="375">
        <v>-3810737.0699999984</v>
      </c>
      <c r="N59" s="363">
        <f t="shared" si="4"/>
        <v>34809.029999999329</v>
      </c>
    </row>
    <row r="60" spans="2:14" x14ac:dyDescent="0.2">
      <c r="B60" s="301"/>
      <c r="C60" s="384" t="s">
        <v>522</v>
      </c>
      <c r="D60" s="381">
        <v>400000000</v>
      </c>
      <c r="E60" s="381">
        <f t="shared" si="0"/>
        <v>-400000000</v>
      </c>
      <c r="F60" s="381">
        <f t="shared" si="1"/>
        <v>0</v>
      </c>
      <c r="G60" s="381">
        <v>0</v>
      </c>
      <c r="H60" s="381">
        <v>0</v>
      </c>
      <c r="I60" s="381">
        <f t="shared" si="7"/>
        <v>0</v>
      </c>
      <c r="L60" s="508">
        <f t="shared" si="3"/>
        <v>0</v>
      </c>
      <c r="M60" s="375">
        <v>-400000000</v>
      </c>
      <c r="N60" s="363">
        <f t="shared" si="4"/>
        <v>0</v>
      </c>
    </row>
    <row r="61" spans="2:14" s="17" customFormat="1" x14ac:dyDescent="0.2">
      <c r="B61" s="301"/>
      <c r="C61" s="384" t="s">
        <v>464</v>
      </c>
      <c r="D61" s="381">
        <v>3368789072.2800002</v>
      </c>
      <c r="E61" s="381">
        <f t="shared" si="0"/>
        <v>744837762.54999971</v>
      </c>
      <c r="F61" s="381">
        <f t="shared" si="1"/>
        <v>4113626834.8299999</v>
      </c>
      <c r="G61" s="381">
        <f>+COG!G80</f>
        <v>4113626834.8299999</v>
      </c>
      <c r="H61" s="381">
        <f>+G61</f>
        <v>4113626834.8299999</v>
      </c>
      <c r="I61" s="381">
        <f t="shared" si="5"/>
        <v>0</v>
      </c>
      <c r="L61" s="508">
        <f t="shared" si="3"/>
        <v>0</v>
      </c>
      <c r="M61" s="508">
        <v>744837762.54999971</v>
      </c>
      <c r="N61" s="363">
        <f t="shared" si="4"/>
        <v>0</v>
      </c>
    </row>
    <row r="62" spans="2:14" x14ac:dyDescent="0.2">
      <c r="B62" s="301"/>
      <c r="C62" s="384" t="s">
        <v>465</v>
      </c>
      <c r="D62" s="381">
        <v>43748636.439999998</v>
      </c>
      <c r="E62" s="381">
        <f t="shared" si="0"/>
        <v>-3.9999999105930328E-2</v>
      </c>
      <c r="F62" s="381">
        <f t="shared" si="1"/>
        <v>43748636.399999999</v>
      </c>
      <c r="G62" s="381">
        <v>43748636.399999999</v>
      </c>
      <c r="H62" s="381">
        <v>43748636.399999999</v>
      </c>
      <c r="I62" s="381">
        <f t="shared" si="5"/>
        <v>0</v>
      </c>
      <c r="L62" s="508">
        <f t="shared" si="3"/>
        <v>0</v>
      </c>
      <c r="M62" s="375">
        <v>-3.9999999105930328E-2</v>
      </c>
      <c r="N62" s="363">
        <f t="shared" si="4"/>
        <v>0</v>
      </c>
    </row>
    <row r="63" spans="2:14" x14ac:dyDescent="0.2">
      <c r="B63" s="301"/>
      <c r="C63" s="384" t="s">
        <v>466</v>
      </c>
      <c r="D63" s="381">
        <v>33059234</v>
      </c>
      <c r="E63" s="381">
        <f t="shared" si="0"/>
        <v>-1505245.0399999991</v>
      </c>
      <c r="F63" s="381">
        <f t="shared" si="1"/>
        <v>31553988.960000001</v>
      </c>
      <c r="G63" s="381">
        <v>31553988.960000001</v>
      </c>
      <c r="H63" s="381">
        <v>31443623.52</v>
      </c>
      <c r="I63" s="381">
        <f t="shared" si="5"/>
        <v>0</v>
      </c>
      <c r="L63" s="508">
        <f t="shared" si="3"/>
        <v>0</v>
      </c>
      <c r="M63" s="375">
        <v>-1505245.0399999991</v>
      </c>
      <c r="N63" s="363">
        <f t="shared" si="4"/>
        <v>110365.44000000134</v>
      </c>
    </row>
    <row r="64" spans="2:14" x14ac:dyDescent="0.2">
      <c r="B64" s="301"/>
      <c r="C64" s="384" t="s">
        <v>467</v>
      </c>
      <c r="D64" s="381">
        <v>4576948.92</v>
      </c>
      <c r="E64" s="381">
        <f>+M64+0.02</f>
        <v>104221.69999999971</v>
      </c>
      <c r="F64" s="381">
        <f t="shared" si="1"/>
        <v>4681170.6199999992</v>
      </c>
      <c r="G64" s="381">
        <v>4681170.5999999996</v>
      </c>
      <c r="H64" s="381">
        <v>4665717.53</v>
      </c>
      <c r="I64" s="381">
        <f t="shared" si="5"/>
        <v>1.9999999552965164E-2</v>
      </c>
      <c r="L64" s="508">
        <f t="shared" si="3"/>
        <v>-1.9999999552965164E-2</v>
      </c>
      <c r="M64" s="375">
        <v>104221.6799999997</v>
      </c>
      <c r="N64" s="363">
        <f t="shared" si="4"/>
        <v>15453.069999999367</v>
      </c>
    </row>
    <row r="65" spans="1:14" x14ac:dyDescent="0.2">
      <c r="B65" s="301"/>
      <c r="C65" s="384" t="s">
        <v>523</v>
      </c>
      <c r="D65" s="381">
        <v>176216252</v>
      </c>
      <c r="E65" s="381">
        <f t="shared" si="0"/>
        <v>0.56999999284744263</v>
      </c>
      <c r="F65" s="381">
        <f t="shared" si="1"/>
        <v>176216252.56999999</v>
      </c>
      <c r="G65" s="381">
        <v>176216252.56999999</v>
      </c>
      <c r="H65" s="381">
        <v>176216252.56999999</v>
      </c>
      <c r="I65" s="381">
        <f t="shared" ref="I65" si="8">+F65-G65</f>
        <v>0</v>
      </c>
      <c r="L65" s="508">
        <f t="shared" si="3"/>
        <v>0</v>
      </c>
      <c r="M65" s="375">
        <v>0.56999999284744263</v>
      </c>
      <c r="N65" s="363">
        <f t="shared" si="4"/>
        <v>0</v>
      </c>
    </row>
    <row r="66" spans="1:14" x14ac:dyDescent="0.2">
      <c r="B66" s="302"/>
      <c r="C66" s="303"/>
      <c r="D66" s="382"/>
      <c r="E66" s="382"/>
      <c r="F66" s="382"/>
      <c r="G66" s="382"/>
      <c r="H66" s="382"/>
      <c r="I66" s="382"/>
      <c r="L66" s="508"/>
    </row>
    <row r="67" spans="1:14" s="294" customFormat="1" ht="15" x14ac:dyDescent="0.25">
      <c r="A67" s="293"/>
      <c r="B67" s="304"/>
      <c r="C67" s="305" t="s">
        <v>240</v>
      </c>
      <c r="D67" s="383">
        <f>SUM(D18:D66)</f>
        <v>43763068350</v>
      </c>
      <c r="E67" s="383">
        <f t="shared" ref="E67:I67" si="9">SUM(E18:E66)</f>
        <v>2731909576.250001</v>
      </c>
      <c r="F67" s="383">
        <f t="shared" si="9"/>
        <v>46494977926.250015</v>
      </c>
      <c r="G67" s="383">
        <f t="shared" si="9"/>
        <v>46494977926.230011</v>
      </c>
      <c r="H67" s="383">
        <f t="shared" si="9"/>
        <v>44814501323.600029</v>
      </c>
      <c r="I67" s="383">
        <f t="shared" si="9"/>
        <v>1.9999999552965164E-2</v>
      </c>
      <c r="J67" s="293"/>
      <c r="L67" s="508"/>
      <c r="M67" s="675"/>
    </row>
    <row r="68" spans="1:14" x14ac:dyDescent="0.2">
      <c r="B68" s="17"/>
      <c r="C68" s="17"/>
      <c r="D68" s="17"/>
      <c r="E68" s="17"/>
      <c r="F68" s="17"/>
      <c r="G68" s="17"/>
      <c r="H68" s="17"/>
      <c r="I68" s="17"/>
      <c r="L68" s="508"/>
    </row>
    <row r="69" spans="1:14" x14ac:dyDescent="0.2">
      <c r="B69" s="17"/>
      <c r="C69" s="17"/>
      <c r="D69" s="456" t="str">
        <f>IF('Edo Analitico Ingresos'!E61=D67," ","ERROR")</f>
        <v xml:space="preserve"> </v>
      </c>
      <c r="E69" s="456" t="str">
        <f>IF('Edo Analitico Ingresos'!F61=E67," ","ERROR")</f>
        <v>ERROR</v>
      </c>
      <c r="F69" s="456" t="str">
        <f>IF('Edo Analitico Ingresos'!G61=F67," ","ERROR")</f>
        <v>ERROR</v>
      </c>
      <c r="G69" s="456" t="str">
        <f>IF('Edo Analitico Ingresos'!H61=G67," ","ERROR")</f>
        <v>ERROR</v>
      </c>
      <c r="H69" s="456" t="str">
        <f>IF('Edo Analitico Ingresos'!I61=H67," ","ERROR")</f>
        <v>ERROR</v>
      </c>
      <c r="I69" s="456" t="str">
        <f>IF('Edo Analitico Ingresos'!J61=I67," ","ERROR")</f>
        <v>ERROR</v>
      </c>
      <c r="J69" s="457"/>
      <c r="L69" s="508"/>
    </row>
    <row r="70" spans="1:14" x14ac:dyDescent="0.2">
      <c r="B70" s="17"/>
      <c r="C70" s="17"/>
      <c r="D70" s="156"/>
      <c r="E70" s="156"/>
      <c r="F70" s="156"/>
      <c r="G70" s="156"/>
      <c r="H70" s="156"/>
      <c r="I70" s="156"/>
      <c r="L70" s="508"/>
    </row>
    <row r="71" spans="1:14" hidden="1" x14ac:dyDescent="0.2">
      <c r="E71" s="363"/>
      <c r="H71" s="409"/>
    </row>
    <row r="72" spans="1:14" hidden="1" x14ac:dyDescent="0.2">
      <c r="F72" s="363"/>
      <c r="H72" s="381"/>
    </row>
    <row r="73" spans="1:14" hidden="1" x14ac:dyDescent="0.2">
      <c r="F73" s="363"/>
      <c r="G73" s="379"/>
      <c r="H73" s="381"/>
      <c r="I73" s="381"/>
    </row>
    <row r="74" spans="1:14" hidden="1" x14ac:dyDescent="0.2">
      <c r="G74" s="397"/>
      <c r="H74" s="381"/>
      <c r="I74" s="381"/>
    </row>
    <row r="75" spans="1:14" hidden="1" x14ac:dyDescent="0.2">
      <c r="E75" s="363"/>
      <c r="H75" s="381"/>
      <c r="I75" s="381"/>
    </row>
    <row r="76" spans="1:14" hidden="1" x14ac:dyDescent="0.2"/>
    <row r="77" spans="1:14" hidden="1" x14ac:dyDescent="0.2">
      <c r="H77" s="428"/>
    </row>
    <row r="78" spans="1:14" hidden="1" x14ac:dyDescent="0.2"/>
    <row r="79" spans="1:14" hidden="1" x14ac:dyDescent="0.2">
      <c r="I79" s="379"/>
    </row>
    <row r="80" spans="1:14" hidden="1" x14ac:dyDescent="0.2">
      <c r="H80" s="363"/>
      <c r="I80" s="379"/>
    </row>
    <row r="81" spans="4:10" hidden="1" x14ac:dyDescent="0.2">
      <c r="I81" s="379"/>
    </row>
    <row r="82" spans="4:10" hidden="1" x14ac:dyDescent="0.2">
      <c r="I82" s="379"/>
    </row>
    <row r="83" spans="4:10" hidden="1" x14ac:dyDescent="0.2"/>
    <row r="84" spans="4:10" hidden="1" x14ac:dyDescent="0.2">
      <c r="H84" s="379"/>
      <c r="I84" s="379"/>
      <c r="J84" s="379"/>
    </row>
    <row r="85" spans="4:10" hidden="1" x14ac:dyDescent="0.2">
      <c r="H85" s="379"/>
      <c r="I85" s="379"/>
      <c r="J85" s="379"/>
    </row>
    <row r="86" spans="4:10" hidden="1" x14ac:dyDescent="0.2">
      <c r="H86" s="379"/>
      <c r="I86" s="379"/>
      <c r="J86" s="379"/>
    </row>
    <row r="87" spans="4:10" hidden="1" x14ac:dyDescent="0.2">
      <c r="H87" s="379"/>
      <c r="I87" s="379"/>
      <c r="J87" s="379"/>
    </row>
    <row r="88" spans="4:10" hidden="1" x14ac:dyDescent="0.2">
      <c r="H88" s="379"/>
      <c r="I88" s="379"/>
      <c r="J88" s="379"/>
    </row>
    <row r="89" spans="4:10" hidden="1" x14ac:dyDescent="0.2">
      <c r="H89" s="379"/>
      <c r="I89" s="379"/>
      <c r="J89" s="379"/>
    </row>
    <row r="90" spans="4:10" hidden="1" x14ac:dyDescent="0.2">
      <c r="H90" s="379"/>
      <c r="I90" s="379"/>
      <c r="J90" s="379"/>
    </row>
    <row r="91" spans="4:10" hidden="1" x14ac:dyDescent="0.2">
      <c r="H91" s="379"/>
      <c r="I91" s="379"/>
      <c r="J91" s="379"/>
    </row>
    <row r="92" spans="4:10" hidden="1" x14ac:dyDescent="0.2">
      <c r="H92" s="379"/>
      <c r="I92" s="379"/>
      <c r="J92" s="379"/>
    </row>
    <row r="93" spans="4:10" hidden="1" x14ac:dyDescent="0.2">
      <c r="D93" s="363">
        <f>+COG!D88</f>
        <v>43763068350</v>
      </c>
      <c r="E93" s="363">
        <f>+COG!E88</f>
        <v>2731909576.250001</v>
      </c>
      <c r="F93" s="363">
        <f>+COG!F88</f>
        <v>46494977926.25</v>
      </c>
      <c r="G93" s="363">
        <f>+COG!G88</f>
        <v>46494977926.230003</v>
      </c>
      <c r="H93" s="363">
        <f>+COG!H88</f>
        <v>44814501323.600006</v>
      </c>
      <c r="I93" s="363">
        <f>+COG!I88</f>
        <v>2.0000457763671875E-2</v>
      </c>
      <c r="J93" s="266"/>
    </row>
    <row r="94" spans="4:10" hidden="1" x14ac:dyDescent="0.2">
      <c r="J94" s="266"/>
    </row>
    <row r="95" spans="4:10" ht="15" hidden="1" x14ac:dyDescent="0.25">
      <c r="G95" s="473"/>
      <c r="J95" s="266"/>
    </row>
    <row r="96" spans="4:10" hidden="1" x14ac:dyDescent="0.2">
      <c r="D96" s="363">
        <f>+D93-D67</f>
        <v>0</v>
      </c>
      <c r="E96" s="445">
        <f t="shared" ref="E96:I96" si="10">+E93-E67</f>
        <v>0</v>
      </c>
      <c r="F96" s="445">
        <f t="shared" si="10"/>
        <v>0</v>
      </c>
      <c r="G96" s="363">
        <f t="shared" si="10"/>
        <v>0</v>
      </c>
      <c r="H96" s="363">
        <f t="shared" si="10"/>
        <v>0</v>
      </c>
      <c r="I96" s="703">
        <f t="shared" si="10"/>
        <v>4.5821070671081543E-7</v>
      </c>
      <c r="J96" s="266"/>
    </row>
    <row r="97" spans="6:10" ht="15" x14ac:dyDescent="0.25">
      <c r="G97" s="473"/>
      <c r="J97" s="266"/>
    </row>
    <row r="98" spans="6:10" ht="15" x14ac:dyDescent="0.25">
      <c r="G98" s="473"/>
      <c r="J98" s="266"/>
    </row>
    <row r="99" spans="6:10" x14ac:dyDescent="0.2">
      <c r="G99" s="397"/>
      <c r="J99" s="266"/>
    </row>
    <row r="100" spans="6:10" x14ac:dyDescent="0.2">
      <c r="F100" s="460"/>
      <c r="G100" s="464"/>
      <c r="H100" s="462"/>
    </row>
    <row r="101" spans="6:10" x14ac:dyDescent="0.2">
      <c r="F101" s="460"/>
      <c r="G101" s="460"/>
      <c r="H101" s="460"/>
    </row>
    <row r="102" spans="6:10" x14ac:dyDescent="0.2">
      <c r="F102" s="460"/>
      <c r="G102" s="464"/>
      <c r="H102" s="460"/>
    </row>
    <row r="103" spans="6:10" x14ac:dyDescent="0.2">
      <c r="F103" s="460"/>
      <c r="G103" s="464"/>
      <c r="H103" s="460"/>
    </row>
    <row r="104" spans="6:10" x14ac:dyDescent="0.2">
      <c r="F104" s="460"/>
      <c r="G104" s="460"/>
      <c r="H104" s="464"/>
    </row>
    <row r="105" spans="6:10" x14ac:dyDescent="0.2">
      <c r="F105" s="460"/>
      <c r="G105" s="460"/>
      <c r="H105" s="465"/>
    </row>
    <row r="106" spans="6:10" x14ac:dyDescent="0.2">
      <c r="F106" s="460"/>
      <c r="G106" s="460"/>
      <c r="H106" s="460"/>
    </row>
    <row r="107" spans="6:10" x14ac:dyDescent="0.2">
      <c r="F107" s="460"/>
      <c r="G107" s="460"/>
      <c r="H107" s="460"/>
    </row>
    <row r="108" spans="6:10" x14ac:dyDescent="0.2">
      <c r="F108" s="460"/>
      <c r="G108" s="460"/>
      <c r="H108" s="460"/>
    </row>
    <row r="109" spans="6:10" x14ac:dyDescent="0.2">
      <c r="F109" s="460"/>
      <c r="G109" s="461"/>
      <c r="H109" s="460"/>
    </row>
    <row r="110" spans="6:10" x14ac:dyDescent="0.2">
      <c r="F110" s="460"/>
      <c r="G110" s="461"/>
      <c r="H110" s="465"/>
    </row>
    <row r="111" spans="6:10" x14ac:dyDescent="0.2">
      <c r="F111" s="460"/>
      <c r="G111" s="461"/>
      <c r="H111" s="460"/>
    </row>
    <row r="112" spans="6:10" x14ac:dyDescent="0.2">
      <c r="F112" s="460"/>
      <c r="G112" s="461"/>
      <c r="H112" s="460"/>
    </row>
    <row r="113" spans="6:8" x14ac:dyDescent="0.2">
      <c r="F113" s="460"/>
      <c r="G113" s="461"/>
      <c r="H113" s="463"/>
    </row>
    <row r="114" spans="6:8" x14ac:dyDescent="0.2">
      <c r="F114" s="460"/>
      <c r="G114" s="461"/>
      <c r="H114" s="460"/>
    </row>
  </sheetData>
  <mergeCells count="8">
    <mergeCell ref="B14:C16"/>
    <mergeCell ref="D14:H14"/>
    <mergeCell ref="I14:I15"/>
    <mergeCell ref="B8:I8"/>
    <mergeCell ref="B9:I9"/>
    <mergeCell ref="B10:I10"/>
    <mergeCell ref="B11:I11"/>
    <mergeCell ref="B12:I12"/>
  </mergeCells>
  <pageMargins left="0.70866141732283472" right="0.70866141732283472" top="0.52" bottom="0.74803149606299213" header="0.31496062992125984" footer="0.31496062992125984"/>
  <pageSetup scale="64" fitToHeight="2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4"/>
  <sheetViews>
    <sheetView topLeftCell="D73" workbookViewId="0">
      <selection activeCell="G76" sqref="G76"/>
    </sheetView>
  </sheetViews>
  <sheetFormatPr baseColWidth="10" defaultRowHeight="14.25" x14ac:dyDescent="0.2"/>
  <cols>
    <col min="1" max="1" width="2.42578125" style="17" customWidth="1"/>
    <col min="2" max="2" width="4.5703125" style="266" customWidth="1"/>
    <col min="3" max="3" width="53.7109375" style="266" customWidth="1"/>
    <col min="4" max="4" width="22" style="266" bestFit="1" customWidth="1"/>
    <col min="5" max="5" width="16.7109375" style="266" customWidth="1"/>
    <col min="6" max="6" width="18.85546875" style="266" customWidth="1"/>
    <col min="7" max="7" width="18.5703125" style="266" customWidth="1"/>
    <col min="8" max="8" width="22" style="266" bestFit="1" customWidth="1"/>
    <col min="9" max="9" width="18.28515625" style="266" bestFit="1" customWidth="1"/>
    <col min="10" max="10" width="3.7109375" style="17" customWidth="1"/>
    <col min="11" max="11" width="15.5703125" style="266" bestFit="1" customWidth="1"/>
    <col min="12" max="12" width="18.5703125" style="425" hidden="1" customWidth="1"/>
    <col min="13" max="13" width="18.5703125" style="375" hidden="1" customWidth="1"/>
    <col min="14" max="14" width="0" style="266" hidden="1" customWidth="1"/>
    <col min="15" max="15" width="15.5703125" style="266" hidden="1" customWidth="1"/>
    <col min="16" max="17" width="16.5703125" style="266" hidden="1" customWidth="1"/>
    <col min="18" max="18" width="13.85546875" style="266" bestFit="1" customWidth="1"/>
    <col min="19" max="19" width="16.140625" style="266" hidden="1" customWidth="1"/>
    <col min="20" max="20" width="14.42578125" style="266" hidden="1" customWidth="1"/>
    <col min="21" max="16384" width="11.42578125" style="266"/>
  </cols>
  <sheetData>
    <row r="1" spans="1:21" x14ac:dyDescent="0.2">
      <c r="A1" s="17" t="s">
        <v>732</v>
      </c>
    </row>
    <row r="7" spans="1:21" ht="15" x14ac:dyDescent="0.25">
      <c r="B7" s="835" t="str">
        <f>+'E A Eje Presup Egresos CA'!B8:I8</f>
        <v>Cuenta Pública 2016</v>
      </c>
      <c r="C7" s="836"/>
      <c r="D7" s="836"/>
      <c r="E7" s="836"/>
      <c r="F7" s="836"/>
      <c r="G7" s="836"/>
      <c r="H7" s="836"/>
      <c r="I7" s="837"/>
    </row>
    <row r="8" spans="1:21" ht="15" x14ac:dyDescent="0.25">
      <c r="B8" s="838" t="s">
        <v>389</v>
      </c>
      <c r="C8" s="839"/>
      <c r="D8" s="839"/>
      <c r="E8" s="839"/>
      <c r="F8" s="839"/>
      <c r="G8" s="839"/>
      <c r="H8" s="839"/>
      <c r="I8" s="840"/>
    </row>
    <row r="9" spans="1:21" ht="15" x14ac:dyDescent="0.25">
      <c r="B9" s="838" t="s">
        <v>231</v>
      </c>
      <c r="C9" s="839"/>
      <c r="D9" s="839"/>
      <c r="E9" s="839"/>
      <c r="F9" s="839"/>
      <c r="G9" s="839"/>
      <c r="H9" s="839"/>
      <c r="I9" s="840"/>
    </row>
    <row r="10" spans="1:21" ht="15" x14ac:dyDescent="0.25">
      <c r="B10" s="838" t="s">
        <v>396</v>
      </c>
      <c r="C10" s="839"/>
      <c r="D10" s="839"/>
      <c r="E10" s="839"/>
      <c r="F10" s="839"/>
      <c r="G10" s="839"/>
      <c r="H10" s="839"/>
      <c r="I10" s="840"/>
    </row>
    <row r="11" spans="1:21" ht="15" x14ac:dyDescent="0.25">
      <c r="B11" s="841" t="str">
        <f>+'E A Eje Presup Egresos CA'!B12:I12</f>
        <v>Del 1 de enero al 31 de diciembre de 2016</v>
      </c>
      <c r="C11" s="842"/>
      <c r="D11" s="842"/>
      <c r="E11" s="842"/>
      <c r="F11" s="842"/>
      <c r="G11" s="842"/>
      <c r="H11" s="842"/>
      <c r="I11" s="843"/>
      <c r="L11" s="868" t="s">
        <v>828</v>
      </c>
      <c r="M11" s="868"/>
      <c r="N11" s="868"/>
      <c r="O11" s="868"/>
      <c r="P11" s="868"/>
      <c r="Q11" s="868"/>
    </row>
    <row r="12" spans="1:21" s="17" customFormat="1" x14ac:dyDescent="0.2">
      <c r="L12" s="868"/>
      <c r="M12" s="868"/>
      <c r="N12" s="868"/>
      <c r="O12" s="868"/>
      <c r="P12" s="868"/>
      <c r="Q12" s="868"/>
    </row>
    <row r="13" spans="1:21" ht="15" x14ac:dyDescent="0.2">
      <c r="B13" s="866" t="s">
        <v>76</v>
      </c>
      <c r="C13" s="866"/>
      <c r="D13" s="867" t="s">
        <v>233</v>
      </c>
      <c r="E13" s="867"/>
      <c r="F13" s="867"/>
      <c r="G13" s="867"/>
      <c r="H13" s="867"/>
      <c r="I13" s="867" t="s">
        <v>234</v>
      </c>
      <c r="L13" s="868"/>
      <c r="M13" s="868"/>
      <c r="N13" s="868"/>
      <c r="O13" s="868"/>
      <c r="P13" s="868"/>
      <c r="Q13" s="868"/>
    </row>
    <row r="14" spans="1:21" ht="30" x14ac:dyDescent="0.2">
      <c r="B14" s="866"/>
      <c r="C14" s="866"/>
      <c r="D14" s="298" t="s">
        <v>235</v>
      </c>
      <c r="E14" s="298" t="s">
        <v>236</v>
      </c>
      <c r="F14" s="298" t="s">
        <v>210</v>
      </c>
      <c r="G14" s="298" t="s">
        <v>211</v>
      </c>
      <c r="H14" s="298" t="s">
        <v>237</v>
      </c>
      <c r="I14" s="867"/>
      <c r="L14" s="676"/>
      <c r="M14" s="677"/>
      <c r="N14" s="676"/>
      <c r="O14" s="678" t="s">
        <v>825</v>
      </c>
      <c r="P14" s="678" t="s">
        <v>826</v>
      </c>
      <c r="Q14" s="678" t="s">
        <v>827</v>
      </c>
      <c r="S14" s="679" t="s">
        <v>829</v>
      </c>
      <c r="T14" s="679"/>
      <c r="U14" s="425"/>
    </row>
    <row r="15" spans="1:21" ht="15" x14ac:dyDescent="0.2">
      <c r="B15" s="866"/>
      <c r="C15" s="866"/>
      <c r="D15" s="298">
        <v>1</v>
      </c>
      <c r="E15" s="298">
        <v>2</v>
      </c>
      <c r="F15" s="298" t="s">
        <v>238</v>
      </c>
      <c r="G15" s="298">
        <v>4</v>
      </c>
      <c r="H15" s="298">
        <v>5</v>
      </c>
      <c r="I15" s="298" t="s">
        <v>239</v>
      </c>
      <c r="S15" s="266" t="s">
        <v>827</v>
      </c>
      <c r="T15" s="266" t="s">
        <v>830</v>
      </c>
    </row>
    <row r="16" spans="1:21" ht="15" x14ac:dyDescent="0.2">
      <c r="B16" s="854" t="s">
        <v>179</v>
      </c>
      <c r="C16" s="855"/>
      <c r="D16" s="376">
        <f>SUM(D17:D23)</f>
        <v>15724168694.109999</v>
      </c>
      <c r="E16" s="376">
        <f>SUM(E17:E23)</f>
        <v>-424186818.19000006</v>
      </c>
      <c r="F16" s="376">
        <f>+D16+E16</f>
        <v>15299981875.919998</v>
      </c>
      <c r="G16" s="376">
        <f t="shared" ref="G16:H16" si="0">SUM(G17:G23)</f>
        <v>15299981875.920002</v>
      </c>
      <c r="H16" s="376">
        <f t="shared" si="0"/>
        <v>15283423902.49</v>
      </c>
      <c r="I16" s="376">
        <f>+F16-G16</f>
        <v>0</v>
      </c>
      <c r="L16" s="483">
        <f t="shared" ref="L16:L81" si="1">+F16-G16</f>
        <v>0</v>
      </c>
      <c r="M16" s="375">
        <v>424186818.18999672</v>
      </c>
      <c r="O16" s="376">
        <f>+E16</f>
        <v>-424186818.19000006</v>
      </c>
      <c r="P16" s="376">
        <f t="shared" ref="P16:Q16" si="2">SUM(P17:P23)</f>
        <v>819627418.58000004</v>
      </c>
      <c r="Q16" s="376">
        <f t="shared" si="2"/>
        <v>-1243814236.7700002</v>
      </c>
      <c r="S16" s="363">
        <f>+G16-H16</f>
        <v>16557973.430002213</v>
      </c>
    </row>
    <row r="17" spans="2:19" ht="15" x14ac:dyDescent="0.2">
      <c r="B17" s="306"/>
      <c r="C17" s="307" t="s">
        <v>246</v>
      </c>
      <c r="D17" s="377">
        <v>5986427486.8000002</v>
      </c>
      <c r="E17" s="377">
        <f>-M17</f>
        <v>359747762.97999954</v>
      </c>
      <c r="F17" s="376">
        <f>+D17+E17</f>
        <v>6346175249.7799997</v>
      </c>
      <c r="G17" s="377">
        <v>6346175249.7799997</v>
      </c>
      <c r="H17" s="377">
        <v>6346175249.7799997</v>
      </c>
      <c r="I17" s="376">
        <f>+F17-G17</f>
        <v>0</v>
      </c>
      <c r="K17" s="363"/>
      <c r="L17" s="483">
        <f t="shared" si="1"/>
        <v>0</v>
      </c>
      <c r="M17" s="375">
        <v>-359747762.97999954</v>
      </c>
      <c r="O17" s="377">
        <f t="shared" ref="O17:O80" si="3">+E17</f>
        <v>359747762.97999954</v>
      </c>
      <c r="P17" s="377">
        <v>-339043464.01999998</v>
      </c>
      <c r="Q17" s="377">
        <f>+O17-P17</f>
        <v>698791226.99999952</v>
      </c>
      <c r="S17" s="363">
        <f>+G17-H17</f>
        <v>0</v>
      </c>
    </row>
    <row r="18" spans="2:19" ht="15" x14ac:dyDescent="0.2">
      <c r="B18" s="306"/>
      <c r="C18" s="307" t="s">
        <v>247</v>
      </c>
      <c r="D18" s="377">
        <v>158460585.91</v>
      </c>
      <c r="E18" s="377">
        <f t="shared" ref="E18:E79" si="4">-M18</f>
        <v>70737792.599999994</v>
      </c>
      <c r="F18" s="376">
        <f t="shared" ref="F18:F67" si="5">+D18+E18</f>
        <v>229198378.50999999</v>
      </c>
      <c r="G18" s="377">
        <v>229198378.50999999</v>
      </c>
      <c r="H18" s="377">
        <v>228383196.77000001</v>
      </c>
      <c r="I18" s="376">
        <f t="shared" ref="I18:I80" si="6">+F18-G18</f>
        <v>0</v>
      </c>
      <c r="K18" s="363"/>
      <c r="L18" s="483">
        <f t="shared" si="1"/>
        <v>0</v>
      </c>
      <c r="M18" s="375">
        <v>-70737792.599999994</v>
      </c>
      <c r="O18" s="377">
        <f t="shared" si="3"/>
        <v>70737792.599999994</v>
      </c>
      <c r="P18" s="377">
        <v>82483243.409999996</v>
      </c>
      <c r="Q18" s="377">
        <f t="shared" ref="Q18:Q81" si="7">+O18-P18</f>
        <v>-11745450.810000002</v>
      </c>
      <c r="S18" s="363">
        <f t="shared" ref="S18:S81" si="8">+G18-H18</f>
        <v>815181.73999997973</v>
      </c>
    </row>
    <row r="19" spans="2:19" ht="15" x14ac:dyDescent="0.2">
      <c r="B19" s="306"/>
      <c r="C19" s="307" t="s">
        <v>248</v>
      </c>
      <c r="D19" s="377">
        <v>5289736505.4099998</v>
      </c>
      <c r="E19" s="377">
        <f t="shared" si="4"/>
        <v>-546897268.97999954</v>
      </c>
      <c r="F19" s="376">
        <f t="shared" si="5"/>
        <v>4742839236.4300003</v>
      </c>
      <c r="G19" s="377">
        <v>4742839236.4300003</v>
      </c>
      <c r="H19" s="377">
        <v>4742839236.4300003</v>
      </c>
      <c r="I19" s="376">
        <f t="shared" si="6"/>
        <v>0</v>
      </c>
      <c r="K19" s="363"/>
      <c r="L19" s="483">
        <f t="shared" si="1"/>
        <v>0</v>
      </c>
      <c r="M19" s="375">
        <v>546897268.97999954</v>
      </c>
      <c r="O19" s="377">
        <f t="shared" si="3"/>
        <v>-546897268.97999954</v>
      </c>
      <c r="P19" s="377">
        <v>-51821812.829999998</v>
      </c>
      <c r="Q19" s="377">
        <f t="shared" si="7"/>
        <v>-495075456.14999956</v>
      </c>
      <c r="S19" s="363">
        <f t="shared" si="8"/>
        <v>0</v>
      </c>
    </row>
    <row r="20" spans="2:19" ht="15" x14ac:dyDescent="0.2">
      <c r="B20" s="306"/>
      <c r="C20" s="307" t="s">
        <v>249</v>
      </c>
      <c r="D20" s="377">
        <v>1885121348.99</v>
      </c>
      <c r="E20" s="377">
        <f t="shared" si="4"/>
        <v>384716722.56999993</v>
      </c>
      <c r="F20" s="376">
        <f t="shared" si="5"/>
        <v>2269838071.5599999</v>
      </c>
      <c r="G20" s="377">
        <v>2269838071.5599999</v>
      </c>
      <c r="H20" s="377">
        <v>2255945043.2600002</v>
      </c>
      <c r="I20" s="376">
        <f t="shared" si="6"/>
        <v>0</v>
      </c>
      <c r="K20" s="363"/>
      <c r="L20" s="483">
        <f t="shared" si="1"/>
        <v>0</v>
      </c>
      <c r="M20" s="375">
        <v>-384716722.56999993</v>
      </c>
      <c r="O20" s="377">
        <f t="shared" si="3"/>
        <v>384716722.56999993</v>
      </c>
      <c r="P20" s="377">
        <v>541883310.08000004</v>
      </c>
      <c r="Q20" s="377">
        <f t="shared" si="7"/>
        <v>-157166587.51000011</v>
      </c>
      <c r="S20" s="363">
        <f t="shared" si="8"/>
        <v>13893028.299999714</v>
      </c>
    </row>
    <row r="21" spans="2:19" ht="15" x14ac:dyDescent="0.2">
      <c r="B21" s="306"/>
      <c r="C21" s="307" t="s">
        <v>250</v>
      </c>
      <c r="D21" s="377">
        <v>1114669503.8199999</v>
      </c>
      <c r="E21" s="377">
        <f t="shared" si="4"/>
        <v>133158636.96000004</v>
      </c>
      <c r="F21" s="376">
        <f t="shared" si="5"/>
        <v>1247828140.78</v>
      </c>
      <c r="G21" s="377">
        <v>1247828140.78</v>
      </c>
      <c r="H21" s="377">
        <v>1247447235</v>
      </c>
      <c r="I21" s="376">
        <f t="shared" si="6"/>
        <v>0</v>
      </c>
      <c r="K21" s="363"/>
      <c r="L21" s="483">
        <f t="shared" si="1"/>
        <v>0</v>
      </c>
      <c r="M21" s="375">
        <v>-133158636.96000004</v>
      </c>
      <c r="O21" s="377">
        <f t="shared" si="3"/>
        <v>133158636.96000004</v>
      </c>
      <c r="P21" s="377">
        <v>422547554.82999998</v>
      </c>
      <c r="Q21" s="377">
        <f t="shared" si="7"/>
        <v>-289388917.86999995</v>
      </c>
      <c r="S21" s="363">
        <f t="shared" si="8"/>
        <v>380905.77999997139</v>
      </c>
    </row>
    <row r="22" spans="2:19" ht="15" x14ac:dyDescent="0.2">
      <c r="B22" s="306"/>
      <c r="C22" s="307" t="s">
        <v>251</v>
      </c>
      <c r="D22" s="377">
        <v>854489024.94000006</v>
      </c>
      <c r="E22" s="377">
        <f t="shared" si="4"/>
        <v>-854489024.94000006</v>
      </c>
      <c r="F22" s="376">
        <f t="shared" si="5"/>
        <v>0</v>
      </c>
      <c r="G22" s="377">
        <v>0</v>
      </c>
      <c r="H22" s="377">
        <v>0</v>
      </c>
      <c r="I22" s="376">
        <f t="shared" si="6"/>
        <v>0</v>
      </c>
      <c r="K22" s="363"/>
      <c r="L22" s="483">
        <f t="shared" si="1"/>
        <v>0</v>
      </c>
      <c r="M22" s="375">
        <v>854489024.94000006</v>
      </c>
      <c r="O22" s="377">
        <f t="shared" si="3"/>
        <v>-854489024.94000006</v>
      </c>
      <c r="P22" s="377">
        <v>-10883400</v>
      </c>
      <c r="Q22" s="377">
        <f t="shared" si="7"/>
        <v>-843605624.94000006</v>
      </c>
      <c r="S22" s="363">
        <f t="shared" si="8"/>
        <v>0</v>
      </c>
    </row>
    <row r="23" spans="2:19" ht="15" x14ac:dyDescent="0.2">
      <c r="B23" s="306"/>
      <c r="C23" s="307" t="s">
        <v>252</v>
      </c>
      <c r="D23" s="377">
        <v>435264238.24000001</v>
      </c>
      <c r="E23" s="377">
        <f t="shared" si="4"/>
        <v>28838560.620000005</v>
      </c>
      <c r="F23" s="376">
        <f t="shared" si="5"/>
        <v>464102798.86000001</v>
      </c>
      <c r="G23" s="377">
        <v>464102798.86000001</v>
      </c>
      <c r="H23" s="377">
        <v>462633941.25</v>
      </c>
      <c r="I23" s="376">
        <f t="shared" si="6"/>
        <v>0</v>
      </c>
      <c r="K23" s="363"/>
      <c r="L23" s="483">
        <f t="shared" si="1"/>
        <v>0</v>
      </c>
      <c r="M23" s="375">
        <v>-28838560.620000005</v>
      </c>
      <c r="O23" s="377">
        <f t="shared" si="3"/>
        <v>28838560.620000005</v>
      </c>
      <c r="P23" s="377">
        <v>174461987.11000001</v>
      </c>
      <c r="Q23" s="377">
        <f t="shared" si="7"/>
        <v>-145623426.49000001</v>
      </c>
      <c r="S23" s="363">
        <f t="shared" si="8"/>
        <v>1468857.6100000143</v>
      </c>
    </row>
    <row r="24" spans="2:19" ht="15" x14ac:dyDescent="0.2">
      <c r="B24" s="854" t="s">
        <v>87</v>
      </c>
      <c r="C24" s="855"/>
      <c r="D24" s="376">
        <f>SUM(D25:D33)</f>
        <v>528472823.68000007</v>
      </c>
      <c r="E24" s="376">
        <f>SUM(E25:E33)</f>
        <v>398727188.06999999</v>
      </c>
      <c r="F24" s="376">
        <f>+D24+E24</f>
        <v>927200011.75</v>
      </c>
      <c r="G24" s="376">
        <f>SUM(G25:G33)</f>
        <v>927200011.75000012</v>
      </c>
      <c r="H24" s="376">
        <f t="shared" ref="H24" si="9">SUM(H25:H33)</f>
        <v>784658412.53999996</v>
      </c>
      <c r="I24" s="376">
        <f t="shared" si="6"/>
        <v>0</v>
      </c>
      <c r="K24" s="363"/>
      <c r="L24" s="483">
        <f t="shared" si="1"/>
        <v>0</v>
      </c>
      <c r="M24" s="375">
        <v>-398727188.07000005</v>
      </c>
      <c r="O24" s="376">
        <f t="shared" si="3"/>
        <v>398727188.06999999</v>
      </c>
      <c r="P24" s="376">
        <f>SUM(P25:P33)</f>
        <v>440729905.20000005</v>
      </c>
      <c r="Q24" s="376">
        <f>SUM(Q25:Q33)</f>
        <v>-42002717.13000001</v>
      </c>
      <c r="S24" s="363">
        <f t="shared" si="8"/>
        <v>142541599.21000016</v>
      </c>
    </row>
    <row r="25" spans="2:19" ht="28.5" x14ac:dyDescent="0.2">
      <c r="B25" s="306"/>
      <c r="C25" s="307" t="s">
        <v>253</v>
      </c>
      <c r="D25" s="377">
        <v>195335539.93000001</v>
      </c>
      <c r="E25" s="377">
        <f t="shared" si="4"/>
        <v>139165515.57999998</v>
      </c>
      <c r="F25" s="376">
        <f t="shared" si="5"/>
        <v>334501055.50999999</v>
      </c>
      <c r="G25" s="377">
        <v>334501055.50999999</v>
      </c>
      <c r="H25" s="377">
        <v>247619327.02000001</v>
      </c>
      <c r="I25" s="376">
        <f t="shared" si="6"/>
        <v>0</v>
      </c>
      <c r="K25" s="363"/>
      <c r="L25" s="483">
        <f t="shared" si="1"/>
        <v>0</v>
      </c>
      <c r="M25" s="375">
        <v>-139165515.57999998</v>
      </c>
      <c r="O25" s="377">
        <f t="shared" si="3"/>
        <v>139165515.57999998</v>
      </c>
      <c r="P25" s="377">
        <v>129563586.27</v>
      </c>
      <c r="Q25" s="377">
        <f t="shared" si="7"/>
        <v>9601929.3099999875</v>
      </c>
      <c r="S25" s="363">
        <f t="shared" si="8"/>
        <v>86881728.48999998</v>
      </c>
    </row>
    <row r="26" spans="2:19" ht="15" x14ac:dyDescent="0.2">
      <c r="B26" s="306"/>
      <c r="C26" s="307" t="s">
        <v>254</v>
      </c>
      <c r="D26" s="377">
        <v>60734863.109999999</v>
      </c>
      <c r="E26" s="377">
        <f t="shared" si="4"/>
        <v>26158647.120000005</v>
      </c>
      <c r="F26" s="376">
        <f t="shared" si="5"/>
        <v>86893510.230000004</v>
      </c>
      <c r="G26" s="377">
        <v>86893510.230000004</v>
      </c>
      <c r="H26" s="377">
        <v>84954267.849999994</v>
      </c>
      <c r="I26" s="376">
        <f t="shared" si="6"/>
        <v>0</v>
      </c>
      <c r="K26" s="363"/>
      <c r="L26" s="483">
        <f t="shared" si="1"/>
        <v>0</v>
      </c>
      <c r="M26" s="375">
        <v>-26158647.120000005</v>
      </c>
      <c r="O26" s="377">
        <f t="shared" si="3"/>
        <v>26158647.120000005</v>
      </c>
      <c r="P26" s="377">
        <v>37876328.82</v>
      </c>
      <c r="Q26" s="377">
        <f t="shared" si="7"/>
        <v>-11717681.699999996</v>
      </c>
      <c r="S26" s="363">
        <f t="shared" si="8"/>
        <v>1939242.3800000101</v>
      </c>
    </row>
    <row r="27" spans="2:19" ht="28.5" x14ac:dyDescent="0.2">
      <c r="B27" s="306"/>
      <c r="C27" s="307" t="s">
        <v>255</v>
      </c>
      <c r="D27" s="377">
        <v>1916042.33</v>
      </c>
      <c r="E27" s="377">
        <f t="shared" si="4"/>
        <v>-682530.17000000016</v>
      </c>
      <c r="F27" s="376">
        <f t="shared" si="5"/>
        <v>1233512.1599999999</v>
      </c>
      <c r="G27" s="377">
        <v>1233512.1599999999</v>
      </c>
      <c r="H27" s="377">
        <v>1233512.1599999999</v>
      </c>
      <c r="I27" s="376">
        <f t="shared" si="6"/>
        <v>0</v>
      </c>
      <c r="K27" s="363"/>
      <c r="L27" s="483">
        <f t="shared" si="1"/>
        <v>0</v>
      </c>
      <c r="M27" s="375">
        <v>682530.17000000016</v>
      </c>
      <c r="O27" s="377">
        <f t="shared" si="3"/>
        <v>-682530.17000000016</v>
      </c>
      <c r="P27" s="377">
        <v>-660539.91</v>
      </c>
      <c r="Q27" s="377">
        <f t="shared" si="7"/>
        <v>-21990.260000000126</v>
      </c>
      <c r="S27" s="363">
        <f t="shared" si="8"/>
        <v>0</v>
      </c>
    </row>
    <row r="28" spans="2:19" ht="15" x14ac:dyDescent="0.2">
      <c r="B28" s="306"/>
      <c r="C28" s="307" t="s">
        <v>256</v>
      </c>
      <c r="D28" s="377">
        <v>110452521.51000001</v>
      </c>
      <c r="E28" s="377">
        <f t="shared" si="4"/>
        <v>7416777.5799999982</v>
      </c>
      <c r="F28" s="376">
        <f t="shared" si="5"/>
        <v>117869299.09</v>
      </c>
      <c r="G28" s="377">
        <v>117869299.09</v>
      </c>
      <c r="H28" s="377">
        <v>107181560.26000001</v>
      </c>
      <c r="I28" s="376">
        <f t="shared" si="6"/>
        <v>0</v>
      </c>
      <c r="K28" s="363"/>
      <c r="L28" s="483">
        <f t="shared" si="1"/>
        <v>0</v>
      </c>
      <c r="M28" s="375">
        <v>-7416777.5799999982</v>
      </c>
      <c r="O28" s="377">
        <f t="shared" si="3"/>
        <v>7416777.5799999982</v>
      </c>
      <c r="P28" s="377">
        <v>8363748</v>
      </c>
      <c r="Q28" s="377">
        <f t="shared" si="7"/>
        <v>-946970.42000000179</v>
      </c>
      <c r="S28" s="363">
        <f t="shared" si="8"/>
        <v>10687738.829999998</v>
      </c>
    </row>
    <row r="29" spans="2:19" ht="15" x14ac:dyDescent="0.2">
      <c r="B29" s="306"/>
      <c r="C29" s="307" t="s">
        <v>257</v>
      </c>
      <c r="D29" s="377">
        <v>1557627.25</v>
      </c>
      <c r="E29" s="377">
        <f t="shared" si="4"/>
        <v>123844520.95999999</v>
      </c>
      <c r="F29" s="376">
        <f t="shared" si="5"/>
        <v>125402148.20999999</v>
      </c>
      <c r="G29" s="377">
        <v>125402148.20999999</v>
      </c>
      <c r="H29" s="377">
        <v>88727149.730000004</v>
      </c>
      <c r="I29" s="376">
        <f t="shared" si="6"/>
        <v>0</v>
      </c>
      <c r="K29" s="363"/>
      <c r="L29" s="483">
        <f t="shared" si="1"/>
        <v>0</v>
      </c>
      <c r="M29" s="375">
        <v>-123844520.95999999</v>
      </c>
      <c r="O29" s="377">
        <f t="shared" si="3"/>
        <v>123844520.95999999</v>
      </c>
      <c r="P29" s="377">
        <v>134555207.69</v>
      </c>
      <c r="Q29" s="377">
        <f t="shared" si="7"/>
        <v>-10710686.730000004</v>
      </c>
      <c r="S29" s="363">
        <f t="shared" si="8"/>
        <v>36674998.479999989</v>
      </c>
    </row>
    <row r="30" spans="2:19" ht="15" x14ac:dyDescent="0.2">
      <c r="B30" s="306"/>
      <c r="C30" s="307" t="s">
        <v>258</v>
      </c>
      <c r="D30" s="377">
        <v>149188664.24000001</v>
      </c>
      <c r="E30" s="377">
        <f t="shared" si="4"/>
        <v>-5637097.75</v>
      </c>
      <c r="F30" s="376">
        <f t="shared" si="5"/>
        <v>143551566.49000001</v>
      </c>
      <c r="G30" s="377">
        <v>143551566.49000001</v>
      </c>
      <c r="H30" s="377">
        <v>143483369.72</v>
      </c>
      <c r="I30" s="376">
        <f t="shared" si="6"/>
        <v>0</v>
      </c>
      <c r="K30" s="363"/>
      <c r="L30" s="483">
        <f t="shared" si="1"/>
        <v>0</v>
      </c>
      <c r="M30" s="375">
        <v>5637097.75</v>
      </c>
      <c r="O30" s="377">
        <f t="shared" si="3"/>
        <v>-5637097.75</v>
      </c>
      <c r="P30" s="377">
        <v>8676595.0700000003</v>
      </c>
      <c r="Q30" s="377">
        <f t="shared" si="7"/>
        <v>-14313692.82</v>
      </c>
      <c r="S30" s="363">
        <f t="shared" si="8"/>
        <v>68196.770000010729</v>
      </c>
    </row>
    <row r="31" spans="2:19" ht="28.5" x14ac:dyDescent="0.2">
      <c r="B31" s="306"/>
      <c r="C31" s="307" t="s">
        <v>259</v>
      </c>
      <c r="D31" s="377">
        <v>2554020.54</v>
      </c>
      <c r="E31" s="377">
        <f t="shared" si="4"/>
        <v>65273008.550000004</v>
      </c>
      <c r="F31" s="376">
        <f t="shared" si="5"/>
        <v>67827029.090000004</v>
      </c>
      <c r="G31" s="377">
        <v>67827029.090000004</v>
      </c>
      <c r="H31" s="377">
        <v>65931185.009999998</v>
      </c>
      <c r="I31" s="376">
        <f t="shared" si="6"/>
        <v>0</v>
      </c>
      <c r="K31" s="363"/>
      <c r="L31" s="483">
        <f t="shared" si="1"/>
        <v>0</v>
      </c>
      <c r="M31" s="375">
        <v>-65273008.550000004</v>
      </c>
      <c r="O31" s="377">
        <f t="shared" si="3"/>
        <v>65273008.550000004</v>
      </c>
      <c r="P31" s="377">
        <v>76525703.780000001</v>
      </c>
      <c r="Q31" s="377">
        <f t="shared" si="7"/>
        <v>-11252695.229999997</v>
      </c>
      <c r="S31" s="363">
        <f t="shared" si="8"/>
        <v>1895844.0800000057</v>
      </c>
    </row>
    <row r="32" spans="2:19" ht="15" x14ac:dyDescent="0.2">
      <c r="B32" s="306"/>
      <c r="C32" s="307" t="s">
        <v>260</v>
      </c>
      <c r="D32" s="377">
        <v>1736539.9</v>
      </c>
      <c r="E32" s="377">
        <f t="shared" si="4"/>
        <v>23427502.990000002</v>
      </c>
      <c r="F32" s="376">
        <f t="shared" si="5"/>
        <v>25164042.890000001</v>
      </c>
      <c r="G32" s="377">
        <v>25164042.890000001</v>
      </c>
      <c r="H32" s="377">
        <v>22216508.68</v>
      </c>
      <c r="I32" s="376">
        <f t="shared" si="6"/>
        <v>0</v>
      </c>
      <c r="K32" s="363"/>
      <c r="L32" s="483">
        <f t="shared" si="1"/>
        <v>0</v>
      </c>
      <c r="M32" s="375">
        <v>-23427502.990000002</v>
      </c>
      <c r="O32" s="377">
        <f t="shared" si="3"/>
        <v>23427502.990000002</v>
      </c>
      <c r="P32" s="377">
        <v>24528721.969999999</v>
      </c>
      <c r="Q32" s="377">
        <f t="shared" si="7"/>
        <v>-1101218.9799999967</v>
      </c>
      <c r="S32" s="363">
        <f t="shared" si="8"/>
        <v>2947534.2100000009</v>
      </c>
    </row>
    <row r="33" spans="2:20" ht="15" x14ac:dyDescent="0.2">
      <c r="B33" s="306"/>
      <c r="C33" s="307" t="s">
        <v>261</v>
      </c>
      <c r="D33" s="377">
        <v>4997004.87</v>
      </c>
      <c r="E33" s="377">
        <f t="shared" si="4"/>
        <v>19760843.209999997</v>
      </c>
      <c r="F33" s="376">
        <f t="shared" si="5"/>
        <v>24757848.079999998</v>
      </c>
      <c r="G33" s="377">
        <v>24757848.079999998</v>
      </c>
      <c r="H33" s="377">
        <v>23311532.109999999</v>
      </c>
      <c r="I33" s="376">
        <f t="shared" si="6"/>
        <v>0</v>
      </c>
      <c r="K33" s="363"/>
      <c r="L33" s="483">
        <f t="shared" si="1"/>
        <v>0</v>
      </c>
      <c r="M33" s="375">
        <v>-19760843.209999997</v>
      </c>
      <c r="O33" s="377">
        <f t="shared" si="3"/>
        <v>19760843.209999997</v>
      </c>
      <c r="P33" s="377">
        <v>21300553.510000002</v>
      </c>
      <c r="Q33" s="377">
        <f t="shared" si="7"/>
        <v>-1539710.3000000045</v>
      </c>
      <c r="S33" s="363">
        <f t="shared" si="8"/>
        <v>1446315.9699999988</v>
      </c>
    </row>
    <row r="34" spans="2:20" ht="15" x14ac:dyDescent="0.2">
      <c r="B34" s="854" t="s">
        <v>89</v>
      </c>
      <c r="C34" s="855"/>
      <c r="D34" s="376">
        <f>SUM(D35:D43)</f>
        <v>1320583502.9000001</v>
      </c>
      <c r="E34" s="376">
        <f t="shared" ref="E34" si="10">SUM(E35:E43)</f>
        <v>2148076918.8200002</v>
      </c>
      <c r="F34" s="376">
        <f t="shared" ref="F34:F87" si="11">+D34+E34</f>
        <v>3468660421.7200003</v>
      </c>
      <c r="G34" s="376">
        <f t="shared" ref="G34" si="12">SUM(G35:G43)</f>
        <v>3468660421.7199993</v>
      </c>
      <c r="H34" s="376">
        <f t="shared" ref="H34" si="13">SUM(H35:H43)</f>
        <v>3098604163.8000002</v>
      </c>
      <c r="I34" s="376">
        <f t="shared" si="6"/>
        <v>0</v>
      </c>
      <c r="K34" s="363"/>
      <c r="L34" s="483">
        <f t="shared" si="1"/>
        <v>0</v>
      </c>
      <c r="M34" s="375">
        <v>-2148076918.8199992</v>
      </c>
      <c r="O34" s="376">
        <f t="shared" si="3"/>
        <v>2148076918.8200002</v>
      </c>
      <c r="P34" s="376">
        <f t="shared" ref="P34:Q34" si="14">SUM(P35:P43)</f>
        <v>1960189308.3699999</v>
      </c>
      <c r="Q34" s="376">
        <f t="shared" si="14"/>
        <v>187887610.45000005</v>
      </c>
      <c r="S34" s="363">
        <f t="shared" si="8"/>
        <v>370056257.91999912</v>
      </c>
    </row>
    <row r="35" spans="2:20" ht="15" x14ac:dyDescent="0.2">
      <c r="B35" s="306"/>
      <c r="C35" s="307" t="s">
        <v>262</v>
      </c>
      <c r="D35" s="377">
        <v>279629578.55000001</v>
      </c>
      <c r="E35" s="377">
        <f t="shared" si="4"/>
        <v>30631244.839999974</v>
      </c>
      <c r="F35" s="376">
        <f t="shared" si="5"/>
        <v>310260823.38999999</v>
      </c>
      <c r="G35" s="377">
        <v>310260823.38999999</v>
      </c>
      <c r="H35" s="377">
        <v>294257023.33999997</v>
      </c>
      <c r="I35" s="376">
        <f t="shared" si="6"/>
        <v>0</v>
      </c>
      <c r="K35" s="363"/>
      <c r="L35" s="483">
        <f t="shared" si="1"/>
        <v>0</v>
      </c>
      <c r="M35" s="375">
        <v>-30631244.839999974</v>
      </c>
      <c r="O35" s="377">
        <f t="shared" si="3"/>
        <v>30631244.839999974</v>
      </c>
      <c r="P35" s="377">
        <v>38915491.390000001</v>
      </c>
      <c r="Q35" s="377">
        <f t="shared" si="7"/>
        <v>-8284246.5500000268</v>
      </c>
      <c r="S35" s="363">
        <f t="shared" si="8"/>
        <v>16003800.050000012</v>
      </c>
    </row>
    <row r="36" spans="2:20" ht="15" x14ac:dyDescent="0.2">
      <c r="B36" s="306"/>
      <c r="C36" s="307" t="s">
        <v>263</v>
      </c>
      <c r="D36" s="377">
        <v>117081058.01000001</v>
      </c>
      <c r="E36" s="377">
        <f t="shared" si="4"/>
        <v>89788046.549999997</v>
      </c>
      <c r="F36" s="376">
        <f t="shared" si="5"/>
        <v>206869104.56</v>
      </c>
      <c r="G36" s="377">
        <v>206869104.56</v>
      </c>
      <c r="H36" s="377">
        <v>179295439.16999999</v>
      </c>
      <c r="I36" s="376">
        <f t="shared" si="6"/>
        <v>0</v>
      </c>
      <c r="K36" s="363"/>
      <c r="L36" s="483">
        <f t="shared" si="1"/>
        <v>0</v>
      </c>
      <c r="M36" s="375">
        <v>-89788046.549999997</v>
      </c>
      <c r="O36" s="377">
        <f t="shared" si="3"/>
        <v>89788046.549999997</v>
      </c>
      <c r="P36" s="377">
        <v>78502783.859999999</v>
      </c>
      <c r="Q36" s="377">
        <f t="shared" si="7"/>
        <v>11285262.689999998</v>
      </c>
      <c r="S36" s="363">
        <f t="shared" si="8"/>
        <v>27573665.390000015</v>
      </c>
    </row>
    <row r="37" spans="2:20" ht="28.5" x14ac:dyDescent="0.2">
      <c r="B37" s="306"/>
      <c r="C37" s="307" t="s">
        <v>264</v>
      </c>
      <c r="D37" s="377">
        <v>28644000.100000001</v>
      </c>
      <c r="E37" s="377">
        <f t="shared" si="4"/>
        <v>897206041.22000003</v>
      </c>
      <c r="F37" s="376">
        <f t="shared" si="5"/>
        <v>925850041.32000005</v>
      </c>
      <c r="G37" s="377">
        <v>925850041.32000005</v>
      </c>
      <c r="H37" s="377">
        <v>887921325.75999999</v>
      </c>
      <c r="I37" s="376">
        <f t="shared" si="6"/>
        <v>0</v>
      </c>
      <c r="K37" s="363"/>
      <c r="L37" s="483">
        <f t="shared" si="1"/>
        <v>0</v>
      </c>
      <c r="M37" s="375">
        <v>-897206041.22000003</v>
      </c>
      <c r="O37" s="377">
        <f t="shared" si="3"/>
        <v>897206041.22000003</v>
      </c>
      <c r="P37" s="377">
        <v>940626542.87</v>
      </c>
      <c r="Q37" s="377">
        <f t="shared" si="7"/>
        <v>-43420501.649999976</v>
      </c>
      <c r="S37" s="363">
        <f t="shared" si="8"/>
        <v>37928715.560000062</v>
      </c>
    </row>
    <row r="38" spans="2:20" ht="15" x14ac:dyDescent="0.2">
      <c r="B38" s="306"/>
      <c r="C38" s="307" t="s">
        <v>265</v>
      </c>
      <c r="D38" s="377">
        <v>41315014.990000002</v>
      </c>
      <c r="E38" s="377">
        <f t="shared" si="4"/>
        <v>104545406.13999999</v>
      </c>
      <c r="F38" s="376">
        <f t="shared" si="5"/>
        <v>145860421.13</v>
      </c>
      <c r="G38" s="377">
        <v>145860421.13</v>
      </c>
      <c r="H38" s="377">
        <v>143303668.28</v>
      </c>
      <c r="I38" s="376">
        <f t="shared" si="6"/>
        <v>0</v>
      </c>
      <c r="K38" s="363"/>
      <c r="L38" s="483">
        <f t="shared" si="1"/>
        <v>0</v>
      </c>
      <c r="M38" s="375">
        <v>-104545406.13999999</v>
      </c>
      <c r="O38" s="377">
        <f t="shared" si="3"/>
        <v>104545406.13999999</v>
      </c>
      <c r="P38" s="377">
        <v>107675612.06</v>
      </c>
      <c r="Q38" s="377">
        <f t="shared" si="7"/>
        <v>-3130205.9200000167</v>
      </c>
      <c r="S38" s="363">
        <f t="shared" si="8"/>
        <v>2556752.849999994</v>
      </c>
    </row>
    <row r="39" spans="2:20" ht="28.5" x14ac:dyDescent="0.2">
      <c r="B39" s="306"/>
      <c r="C39" s="307" t="s">
        <v>266</v>
      </c>
      <c r="D39" s="377">
        <v>71459467.069999993</v>
      </c>
      <c r="E39" s="377">
        <f t="shared" si="4"/>
        <v>147191650.71000001</v>
      </c>
      <c r="F39" s="376">
        <f t="shared" si="5"/>
        <v>218651117.78</v>
      </c>
      <c r="G39" s="377">
        <v>218651117.78</v>
      </c>
      <c r="H39" s="377">
        <v>212873215.93000001</v>
      </c>
      <c r="I39" s="376">
        <f t="shared" si="6"/>
        <v>0</v>
      </c>
      <c r="K39" s="363"/>
      <c r="L39" s="483">
        <f t="shared" si="1"/>
        <v>0</v>
      </c>
      <c r="M39" s="375">
        <v>-147191650.71000001</v>
      </c>
      <c r="O39" s="377">
        <f t="shared" si="3"/>
        <v>147191650.71000001</v>
      </c>
      <c r="P39" s="377">
        <v>215429198.84</v>
      </c>
      <c r="Q39" s="377">
        <f t="shared" si="7"/>
        <v>-68237548.129999995</v>
      </c>
      <c r="S39" s="363">
        <f t="shared" si="8"/>
        <v>5777901.849999994</v>
      </c>
    </row>
    <row r="40" spans="2:20" ht="15" x14ac:dyDescent="0.2">
      <c r="B40" s="306"/>
      <c r="C40" s="307" t="s">
        <v>267</v>
      </c>
      <c r="D40" s="377">
        <v>528499000</v>
      </c>
      <c r="E40" s="377">
        <f t="shared" si="4"/>
        <v>431058801.44000006</v>
      </c>
      <c r="F40" s="376">
        <f t="shared" si="5"/>
        <v>959557801.44000006</v>
      </c>
      <c r="G40" s="377">
        <v>959557801.44000006</v>
      </c>
      <c r="H40" s="377">
        <v>685145587.32000005</v>
      </c>
      <c r="I40" s="376">
        <f t="shared" si="6"/>
        <v>0</v>
      </c>
      <c r="K40" s="363"/>
      <c r="L40" s="483">
        <f t="shared" si="1"/>
        <v>0</v>
      </c>
      <c r="M40" s="375">
        <v>-431058801.44000006</v>
      </c>
      <c r="O40" s="377">
        <f t="shared" si="3"/>
        <v>431058801.44000006</v>
      </c>
      <c r="P40" s="377">
        <v>45724454.75</v>
      </c>
      <c r="Q40" s="377">
        <f t="shared" si="7"/>
        <v>385334346.69000006</v>
      </c>
      <c r="S40" s="363">
        <f t="shared" si="8"/>
        <v>274412214.12</v>
      </c>
    </row>
    <row r="41" spans="2:20" ht="15" x14ac:dyDescent="0.2">
      <c r="B41" s="306"/>
      <c r="C41" s="307" t="s">
        <v>268</v>
      </c>
      <c r="D41" s="377">
        <v>21859018.390000001</v>
      </c>
      <c r="E41" s="377">
        <f t="shared" si="4"/>
        <v>71051824.269999996</v>
      </c>
      <c r="F41" s="376">
        <f t="shared" si="5"/>
        <v>92910842.659999996</v>
      </c>
      <c r="G41" s="377">
        <v>92910842.659999996</v>
      </c>
      <c r="H41" s="377">
        <v>90918602.510000005</v>
      </c>
      <c r="I41" s="376">
        <f t="shared" si="6"/>
        <v>0</v>
      </c>
      <c r="K41" s="363"/>
      <c r="L41" s="483">
        <f t="shared" si="1"/>
        <v>0</v>
      </c>
      <c r="M41" s="375">
        <v>-71051824.269999996</v>
      </c>
      <c r="O41" s="377">
        <f t="shared" si="3"/>
        <v>71051824.269999996</v>
      </c>
      <c r="P41" s="377">
        <v>56310147.530000001</v>
      </c>
      <c r="Q41" s="377">
        <f t="shared" si="7"/>
        <v>14741676.739999995</v>
      </c>
      <c r="S41" s="363">
        <f t="shared" si="8"/>
        <v>1992240.1499999911</v>
      </c>
    </row>
    <row r="42" spans="2:20" ht="15" x14ac:dyDescent="0.2">
      <c r="B42" s="306"/>
      <c r="C42" s="307" t="s">
        <v>269</v>
      </c>
      <c r="D42" s="377">
        <v>34060572.049999997</v>
      </c>
      <c r="E42" s="377">
        <f t="shared" si="4"/>
        <v>197117409.44</v>
      </c>
      <c r="F42" s="376">
        <f t="shared" si="5"/>
        <v>231177981.49000001</v>
      </c>
      <c r="G42" s="377">
        <v>231177981.49000001</v>
      </c>
      <c r="H42" s="377">
        <v>227367013.53999999</v>
      </c>
      <c r="I42" s="376">
        <f t="shared" si="6"/>
        <v>0</v>
      </c>
      <c r="K42" s="363"/>
      <c r="L42" s="483">
        <f t="shared" si="1"/>
        <v>0</v>
      </c>
      <c r="M42" s="375">
        <v>-197117409.44</v>
      </c>
      <c r="O42" s="377">
        <f t="shared" si="3"/>
        <v>197117409.44</v>
      </c>
      <c r="P42" s="377">
        <v>159689876</v>
      </c>
      <c r="Q42" s="377">
        <f t="shared" si="7"/>
        <v>37427533.439999998</v>
      </c>
      <c r="S42" s="363">
        <f t="shared" si="8"/>
        <v>3810967.9500000179</v>
      </c>
    </row>
    <row r="43" spans="2:20" ht="15" x14ac:dyDescent="0.2">
      <c r="B43" s="306"/>
      <c r="C43" s="307" t="s">
        <v>270</v>
      </c>
      <c r="D43" s="377">
        <v>198035793.74000001</v>
      </c>
      <c r="E43" s="377">
        <f t="shared" si="4"/>
        <v>179486494.20999998</v>
      </c>
      <c r="F43" s="376">
        <f t="shared" si="5"/>
        <v>377522287.94999999</v>
      </c>
      <c r="G43" s="377">
        <v>377522287.94999999</v>
      </c>
      <c r="H43" s="377">
        <f>378020380.95-498093</f>
        <v>377522287.94999999</v>
      </c>
      <c r="I43" s="376">
        <f t="shared" si="6"/>
        <v>0</v>
      </c>
      <c r="K43" s="363"/>
      <c r="L43" s="483">
        <f t="shared" si="1"/>
        <v>0</v>
      </c>
      <c r="M43" s="375">
        <v>-179486494.20999998</v>
      </c>
      <c r="O43" s="377">
        <f t="shared" si="3"/>
        <v>179486494.20999998</v>
      </c>
      <c r="P43" s="377">
        <v>317315201.06999999</v>
      </c>
      <c r="Q43" s="377">
        <f t="shared" si="7"/>
        <v>-137828706.86000001</v>
      </c>
      <c r="S43" s="681">
        <f t="shared" si="8"/>
        <v>0</v>
      </c>
      <c r="T43" s="681">
        <v>-498093</v>
      </c>
    </row>
    <row r="44" spans="2:20" ht="15" x14ac:dyDescent="0.2">
      <c r="B44" s="854" t="s">
        <v>223</v>
      </c>
      <c r="C44" s="855"/>
      <c r="D44" s="376">
        <f>SUM(D45:D53)</f>
        <v>13134097350.82</v>
      </c>
      <c r="E44" s="376">
        <f>SUM(E45:E53)</f>
        <v>769382849.34000039</v>
      </c>
      <c r="F44" s="376">
        <f t="shared" si="11"/>
        <v>13903480200.16</v>
      </c>
      <c r="G44" s="376">
        <f t="shared" ref="G44:H44" si="15">SUM(G45:G53)</f>
        <v>13903480200.16</v>
      </c>
      <c r="H44" s="376">
        <f t="shared" si="15"/>
        <v>13314916748.059999</v>
      </c>
      <c r="I44" s="376">
        <f t="shared" si="6"/>
        <v>0</v>
      </c>
      <c r="K44" s="363"/>
      <c r="L44" s="483">
        <f t="shared" si="1"/>
        <v>0</v>
      </c>
      <c r="M44" s="375">
        <v>-769382849.34000015</v>
      </c>
      <c r="O44" s="376">
        <f t="shared" si="3"/>
        <v>769382849.34000039</v>
      </c>
      <c r="P44" s="376">
        <f t="shared" ref="P44:Q44" si="16">SUM(P45:P53)</f>
        <v>3426667043.9000001</v>
      </c>
      <c r="Q44" s="376">
        <f t="shared" si="16"/>
        <v>-2657284194.559999</v>
      </c>
      <c r="S44" s="363">
        <f t="shared" si="8"/>
        <v>588563452.10000038</v>
      </c>
    </row>
    <row r="45" spans="2:20" ht="28.5" x14ac:dyDescent="0.2">
      <c r="B45" s="306"/>
      <c r="C45" s="307" t="s">
        <v>93</v>
      </c>
      <c r="D45" s="377">
        <v>10614618330.58</v>
      </c>
      <c r="E45" s="377">
        <f t="shared" si="4"/>
        <v>-1751865983.0599995</v>
      </c>
      <c r="F45" s="376">
        <f t="shared" si="5"/>
        <v>8862752347.5200005</v>
      </c>
      <c r="G45" s="377">
        <v>8862752347.5200005</v>
      </c>
      <c r="H45" s="377">
        <v>8726362150.4599991</v>
      </c>
      <c r="I45" s="376">
        <f t="shared" si="6"/>
        <v>0</v>
      </c>
      <c r="K45" s="363"/>
      <c r="L45" s="483">
        <f t="shared" si="1"/>
        <v>0</v>
      </c>
      <c r="M45" s="375">
        <v>1751865983.0599995</v>
      </c>
      <c r="O45" s="377">
        <f t="shared" si="3"/>
        <v>-1751865983.0599995</v>
      </c>
      <c r="P45" s="377">
        <v>574793607.85000002</v>
      </c>
      <c r="Q45" s="377">
        <f t="shared" si="7"/>
        <v>-2326659590.9099994</v>
      </c>
      <c r="S45" s="363">
        <f t="shared" si="8"/>
        <v>136390197.06000137</v>
      </c>
    </row>
    <row r="46" spans="2:20" ht="15" x14ac:dyDescent="0.2">
      <c r="B46" s="306"/>
      <c r="C46" s="307" t="s">
        <v>95</v>
      </c>
      <c r="D46" s="377">
        <v>0</v>
      </c>
      <c r="E46" s="377">
        <f t="shared" si="4"/>
        <v>322558595.81</v>
      </c>
      <c r="F46" s="376">
        <f t="shared" si="5"/>
        <v>322558595.81</v>
      </c>
      <c r="G46" s="377">
        <v>322558595.81</v>
      </c>
      <c r="H46" s="377">
        <v>307292142</v>
      </c>
      <c r="I46" s="376">
        <f t="shared" si="6"/>
        <v>0</v>
      </c>
      <c r="K46" s="363"/>
      <c r="L46" s="483">
        <f t="shared" si="1"/>
        <v>0</v>
      </c>
      <c r="M46" s="375">
        <v>-322558595.81</v>
      </c>
      <c r="O46" s="377">
        <f t="shared" si="3"/>
        <v>322558595.81</v>
      </c>
      <c r="P46" s="377">
        <v>405132336.56999999</v>
      </c>
      <c r="Q46" s="377">
        <f t="shared" si="7"/>
        <v>-82573740.75999999</v>
      </c>
      <c r="S46" s="363">
        <f t="shared" si="8"/>
        <v>15266453.810000002</v>
      </c>
    </row>
    <row r="47" spans="2:20" ht="15" x14ac:dyDescent="0.2">
      <c r="B47" s="306"/>
      <c r="C47" s="307" t="s">
        <v>97</v>
      </c>
      <c r="D47" s="377">
        <v>1930260512.8</v>
      </c>
      <c r="E47" s="377">
        <f t="shared" si="4"/>
        <v>37743901.210000038</v>
      </c>
      <c r="F47" s="376">
        <f t="shared" si="5"/>
        <v>1968004414.01</v>
      </c>
      <c r="G47" s="377">
        <v>1968004414.01</v>
      </c>
      <c r="H47" s="377">
        <f>1969167591.42-1163177.41</f>
        <v>1968004414.01</v>
      </c>
      <c r="I47" s="376">
        <f t="shared" si="6"/>
        <v>0</v>
      </c>
      <c r="K47" s="363"/>
      <c r="L47" s="483">
        <f t="shared" si="1"/>
        <v>0</v>
      </c>
      <c r="M47" s="375">
        <v>-37743901.210000038</v>
      </c>
      <c r="O47" s="377">
        <f t="shared" si="3"/>
        <v>37743901.210000038</v>
      </c>
      <c r="P47" s="377">
        <v>534523354.86000001</v>
      </c>
      <c r="Q47" s="377">
        <f t="shared" si="7"/>
        <v>-496779453.64999998</v>
      </c>
      <c r="S47" s="681">
        <f t="shared" si="8"/>
        <v>0</v>
      </c>
      <c r="T47" s="681">
        <v>-1163177.4100000858</v>
      </c>
    </row>
    <row r="48" spans="2:20" ht="15" x14ac:dyDescent="0.2">
      <c r="B48" s="306"/>
      <c r="C48" s="307" t="s">
        <v>98</v>
      </c>
      <c r="D48" s="377">
        <v>589218507.44000006</v>
      </c>
      <c r="E48" s="377">
        <f t="shared" si="4"/>
        <v>2037586040.8299999</v>
      </c>
      <c r="F48" s="376">
        <f t="shared" si="5"/>
        <v>2626804548.27</v>
      </c>
      <c r="G48" s="377">
        <v>2626804548.27</v>
      </c>
      <c r="H48" s="377">
        <v>2199148897.6100001</v>
      </c>
      <c r="I48" s="376">
        <f t="shared" si="6"/>
        <v>0</v>
      </c>
      <c r="K48" s="363"/>
      <c r="L48" s="483">
        <f t="shared" si="1"/>
        <v>0</v>
      </c>
      <c r="M48" s="375">
        <v>-2037586040.8299999</v>
      </c>
      <c r="O48" s="377">
        <f t="shared" si="3"/>
        <v>2037586040.8299999</v>
      </c>
      <c r="P48" s="377">
        <v>1784865445.25</v>
      </c>
      <c r="Q48" s="377">
        <f t="shared" si="7"/>
        <v>252720595.57999992</v>
      </c>
      <c r="S48" s="363">
        <f t="shared" si="8"/>
        <v>427655650.65999985</v>
      </c>
    </row>
    <row r="49" spans="2:19" ht="15" x14ac:dyDescent="0.2">
      <c r="B49" s="306"/>
      <c r="C49" s="307" t="s">
        <v>100</v>
      </c>
      <c r="D49" s="377">
        <v>0</v>
      </c>
      <c r="E49" s="377">
        <f t="shared" si="4"/>
        <v>34333450.310000002</v>
      </c>
      <c r="F49" s="376">
        <f t="shared" si="5"/>
        <v>34333450.310000002</v>
      </c>
      <c r="G49" s="377">
        <v>34333450.310000002</v>
      </c>
      <c r="H49" s="377">
        <v>34107542.299999997</v>
      </c>
      <c r="I49" s="376">
        <f>+F49-G49</f>
        <v>0</v>
      </c>
      <c r="K49" s="363"/>
      <c r="L49" s="483">
        <f t="shared" si="1"/>
        <v>0</v>
      </c>
      <c r="M49" s="375">
        <v>-34333450.310000002</v>
      </c>
      <c r="O49" s="377">
        <f t="shared" si="3"/>
        <v>34333450.310000002</v>
      </c>
      <c r="P49" s="377">
        <v>34230376.060000002</v>
      </c>
      <c r="Q49" s="377">
        <f t="shared" si="7"/>
        <v>103074.25</v>
      </c>
      <c r="S49" s="363">
        <f t="shared" si="8"/>
        <v>225908.01000000536</v>
      </c>
    </row>
    <row r="50" spans="2:19" ht="28.5" x14ac:dyDescent="0.2">
      <c r="B50" s="306"/>
      <c r="C50" s="307" t="s">
        <v>271</v>
      </c>
      <c r="D50" s="377">
        <v>0</v>
      </c>
      <c r="E50" s="377">
        <f t="shared" si="4"/>
        <v>61012500</v>
      </c>
      <c r="F50" s="376">
        <f t="shared" si="5"/>
        <v>61012500</v>
      </c>
      <c r="G50" s="377">
        <v>61012500</v>
      </c>
      <c r="H50" s="377">
        <v>58012500</v>
      </c>
      <c r="I50" s="376">
        <f t="shared" si="6"/>
        <v>0</v>
      </c>
      <c r="K50" s="363"/>
      <c r="L50" s="483">
        <f t="shared" si="1"/>
        <v>0</v>
      </c>
      <c r="M50" s="375">
        <v>-61012500</v>
      </c>
      <c r="O50" s="377">
        <f t="shared" si="3"/>
        <v>61012500</v>
      </c>
      <c r="P50" s="377">
        <v>61103444.329999998</v>
      </c>
      <c r="Q50" s="377">
        <f t="shared" si="7"/>
        <v>-90944.329999998212</v>
      </c>
      <c r="S50" s="363">
        <f t="shared" si="8"/>
        <v>3000000</v>
      </c>
    </row>
    <row r="51" spans="2:19" ht="15" x14ac:dyDescent="0.2">
      <c r="B51" s="306"/>
      <c r="C51" s="307" t="s">
        <v>103</v>
      </c>
      <c r="D51" s="377">
        <v>0</v>
      </c>
      <c r="E51" s="377">
        <f t="shared" si="4"/>
        <v>0</v>
      </c>
      <c r="F51" s="376">
        <f t="shared" si="5"/>
        <v>0</v>
      </c>
      <c r="G51" s="377">
        <v>0</v>
      </c>
      <c r="H51" s="377">
        <v>0</v>
      </c>
      <c r="I51" s="376">
        <f t="shared" si="6"/>
        <v>0</v>
      </c>
      <c r="K51" s="363"/>
      <c r="L51" s="483">
        <f t="shared" si="1"/>
        <v>0</v>
      </c>
      <c r="M51" s="375">
        <v>0</v>
      </c>
      <c r="O51" s="377">
        <f t="shared" si="3"/>
        <v>0</v>
      </c>
      <c r="P51" s="377">
        <v>0</v>
      </c>
      <c r="Q51" s="377">
        <f t="shared" si="7"/>
        <v>0</v>
      </c>
      <c r="S51" s="363">
        <f t="shared" si="8"/>
        <v>0</v>
      </c>
    </row>
    <row r="52" spans="2:19" ht="15" x14ac:dyDescent="0.2">
      <c r="B52" s="306"/>
      <c r="C52" s="307" t="s">
        <v>104</v>
      </c>
      <c r="D52" s="377">
        <v>0</v>
      </c>
      <c r="E52" s="377">
        <f t="shared" si="4"/>
        <v>0</v>
      </c>
      <c r="F52" s="376">
        <f t="shared" si="5"/>
        <v>0</v>
      </c>
      <c r="G52" s="377">
        <v>0</v>
      </c>
      <c r="H52" s="377">
        <v>0</v>
      </c>
      <c r="I52" s="376">
        <f t="shared" si="6"/>
        <v>0</v>
      </c>
      <c r="K52" s="363"/>
      <c r="L52" s="483">
        <f t="shared" si="1"/>
        <v>0</v>
      </c>
      <c r="M52" s="375">
        <v>0</v>
      </c>
      <c r="O52" s="377">
        <f t="shared" si="3"/>
        <v>0</v>
      </c>
      <c r="P52" s="377">
        <v>0</v>
      </c>
      <c r="Q52" s="377">
        <f t="shared" si="7"/>
        <v>0</v>
      </c>
      <c r="S52" s="363">
        <f t="shared" si="8"/>
        <v>0</v>
      </c>
    </row>
    <row r="53" spans="2:19" ht="15" x14ac:dyDescent="0.2">
      <c r="B53" s="306"/>
      <c r="C53" s="307" t="s">
        <v>106</v>
      </c>
      <c r="D53" s="377">
        <v>0</v>
      </c>
      <c r="E53" s="377">
        <f t="shared" si="4"/>
        <v>28014344.239999998</v>
      </c>
      <c r="F53" s="376">
        <f t="shared" si="5"/>
        <v>28014344.239999998</v>
      </c>
      <c r="G53" s="377">
        <v>28014344.239999998</v>
      </c>
      <c r="H53" s="377">
        <v>21989101.68</v>
      </c>
      <c r="I53" s="376">
        <f t="shared" si="6"/>
        <v>0</v>
      </c>
      <c r="K53" s="363"/>
      <c r="L53" s="483">
        <f t="shared" si="1"/>
        <v>0</v>
      </c>
      <c r="M53" s="375">
        <v>-28014344.239999998</v>
      </c>
      <c r="O53" s="377">
        <f t="shared" si="3"/>
        <v>28014344.239999998</v>
      </c>
      <c r="P53" s="377">
        <v>32018478.98</v>
      </c>
      <c r="Q53" s="377">
        <f t="shared" si="7"/>
        <v>-4004134.7400000021</v>
      </c>
      <c r="S53" s="363">
        <f t="shared" si="8"/>
        <v>6025242.5599999987</v>
      </c>
    </row>
    <row r="54" spans="2:19" ht="15" x14ac:dyDescent="0.2">
      <c r="B54" s="854" t="s">
        <v>272</v>
      </c>
      <c r="C54" s="855"/>
      <c r="D54" s="376">
        <f>SUM(D55:D63)</f>
        <v>260014035.56999999</v>
      </c>
      <c r="E54" s="376">
        <f>SUM(E55:E63)</f>
        <v>79229018.060000002</v>
      </c>
      <c r="F54" s="376">
        <f t="shared" si="11"/>
        <v>339243053.63</v>
      </c>
      <c r="G54" s="376">
        <f t="shared" ref="G54:H54" si="17">SUM(G55:G63)</f>
        <v>339243053.63</v>
      </c>
      <c r="H54" s="376">
        <f t="shared" si="17"/>
        <v>315174396.94</v>
      </c>
      <c r="I54" s="376">
        <f t="shared" si="6"/>
        <v>0</v>
      </c>
      <c r="K54" s="363"/>
      <c r="L54" s="483">
        <f t="shared" si="1"/>
        <v>0</v>
      </c>
      <c r="M54" s="375">
        <v>-79229018.060000002</v>
      </c>
      <c r="O54" s="376">
        <f t="shared" si="3"/>
        <v>79229018.060000002</v>
      </c>
      <c r="P54" s="376">
        <f t="shared" ref="P54:Q54" si="18">SUM(P55:P63)</f>
        <v>238798891.05999997</v>
      </c>
      <c r="Q54" s="376">
        <f t="shared" si="18"/>
        <v>-159569873</v>
      </c>
      <c r="S54" s="363">
        <f t="shared" si="8"/>
        <v>24068656.689999998</v>
      </c>
    </row>
    <row r="55" spans="2:19" ht="15" x14ac:dyDescent="0.2">
      <c r="B55" s="306"/>
      <c r="C55" s="307" t="s">
        <v>273</v>
      </c>
      <c r="D55" s="377">
        <v>93109169</v>
      </c>
      <c r="E55" s="377">
        <f t="shared" si="4"/>
        <v>-38063147.68</v>
      </c>
      <c r="F55" s="376">
        <f t="shared" si="5"/>
        <v>55046021.32</v>
      </c>
      <c r="G55" s="377">
        <v>55046021.32</v>
      </c>
      <c r="H55" s="377">
        <v>47108872.009999998</v>
      </c>
      <c r="I55" s="376">
        <f t="shared" si="6"/>
        <v>0</v>
      </c>
      <c r="K55" s="363"/>
      <c r="L55" s="483">
        <f t="shared" si="1"/>
        <v>0</v>
      </c>
      <c r="M55" s="375">
        <v>38063147.68</v>
      </c>
      <c r="O55" s="377">
        <f t="shared" si="3"/>
        <v>-38063147.68</v>
      </c>
      <c r="P55" s="377">
        <v>4826078.03</v>
      </c>
      <c r="Q55" s="377">
        <f t="shared" si="7"/>
        <v>-42889225.710000001</v>
      </c>
      <c r="S55" s="363">
        <f t="shared" si="8"/>
        <v>7937149.3100000024</v>
      </c>
    </row>
    <row r="56" spans="2:19" ht="15" x14ac:dyDescent="0.2">
      <c r="B56" s="306"/>
      <c r="C56" s="307" t="s">
        <v>274</v>
      </c>
      <c r="D56" s="377">
        <v>0</v>
      </c>
      <c r="E56" s="377">
        <f t="shared" si="4"/>
        <v>18187591.989999998</v>
      </c>
      <c r="F56" s="376">
        <f t="shared" si="5"/>
        <v>18187591.989999998</v>
      </c>
      <c r="G56" s="377">
        <v>18187591.989999998</v>
      </c>
      <c r="H56" s="377">
        <v>18127564.890000001</v>
      </c>
      <c r="I56" s="376">
        <f t="shared" si="6"/>
        <v>0</v>
      </c>
      <c r="K56" s="363"/>
      <c r="L56" s="483">
        <f t="shared" si="1"/>
        <v>0</v>
      </c>
      <c r="M56" s="375">
        <v>-18187591.989999998</v>
      </c>
      <c r="O56" s="377">
        <f t="shared" si="3"/>
        <v>18187591.989999998</v>
      </c>
      <c r="P56" s="377">
        <v>25619685.039999999</v>
      </c>
      <c r="Q56" s="377">
        <f t="shared" si="7"/>
        <v>-7432093.0500000007</v>
      </c>
      <c r="S56" s="363">
        <f t="shared" si="8"/>
        <v>60027.099999997765</v>
      </c>
    </row>
    <row r="57" spans="2:19" ht="15" x14ac:dyDescent="0.2">
      <c r="B57" s="306"/>
      <c r="C57" s="307" t="s">
        <v>275</v>
      </c>
      <c r="D57" s="377">
        <v>0</v>
      </c>
      <c r="E57" s="377">
        <f t="shared" si="4"/>
        <v>2370224.38</v>
      </c>
      <c r="F57" s="376">
        <f t="shared" si="5"/>
        <v>2370224.38</v>
      </c>
      <c r="G57" s="377">
        <v>2370224.38</v>
      </c>
      <c r="H57" s="377">
        <v>2370224.38</v>
      </c>
      <c r="I57" s="376">
        <f t="shared" si="6"/>
        <v>0</v>
      </c>
      <c r="K57" s="363"/>
      <c r="L57" s="483">
        <f t="shared" si="1"/>
        <v>0</v>
      </c>
      <c r="M57" s="375">
        <v>-2370224.38</v>
      </c>
      <c r="O57" s="377">
        <f t="shared" si="3"/>
        <v>2370224.38</v>
      </c>
      <c r="P57" s="377">
        <v>55254741.32</v>
      </c>
      <c r="Q57" s="377">
        <f t="shared" si="7"/>
        <v>-52884516.939999998</v>
      </c>
      <c r="S57" s="363">
        <f t="shared" si="8"/>
        <v>0</v>
      </c>
    </row>
    <row r="58" spans="2:19" ht="15" x14ac:dyDescent="0.2">
      <c r="B58" s="306"/>
      <c r="C58" s="307" t="s">
        <v>276</v>
      </c>
      <c r="D58" s="377">
        <v>33000000</v>
      </c>
      <c r="E58" s="377">
        <f t="shared" si="4"/>
        <v>76473609.269999996</v>
      </c>
      <c r="F58" s="376">
        <f t="shared" si="5"/>
        <v>109473609.27</v>
      </c>
      <c r="G58" s="377">
        <v>109473609.27</v>
      </c>
      <c r="H58" s="377">
        <v>97923459.209999993</v>
      </c>
      <c r="I58" s="376">
        <f t="shared" si="6"/>
        <v>0</v>
      </c>
      <c r="K58" s="363"/>
      <c r="L58" s="483">
        <f t="shared" si="1"/>
        <v>0</v>
      </c>
      <c r="M58" s="375">
        <v>-76473609.269999996</v>
      </c>
      <c r="O58" s="377">
        <f t="shared" si="3"/>
        <v>76473609.269999996</v>
      </c>
      <c r="P58" s="377">
        <v>94432058.849999994</v>
      </c>
      <c r="Q58" s="377">
        <f t="shared" si="7"/>
        <v>-17958449.579999998</v>
      </c>
      <c r="S58" s="363">
        <f t="shared" si="8"/>
        <v>11550150.060000002</v>
      </c>
    </row>
    <row r="59" spans="2:19" ht="15" x14ac:dyDescent="0.2">
      <c r="B59" s="306"/>
      <c r="C59" s="307" t="s">
        <v>277</v>
      </c>
      <c r="D59" s="377">
        <v>0</v>
      </c>
      <c r="E59" s="377">
        <f t="shared" si="4"/>
        <v>5187312.75</v>
      </c>
      <c r="F59" s="376">
        <f t="shared" si="5"/>
        <v>5187312.75</v>
      </c>
      <c r="G59" s="377">
        <v>5187312.75</v>
      </c>
      <c r="H59" s="377">
        <v>5187312.75</v>
      </c>
      <c r="I59" s="376">
        <f t="shared" si="6"/>
        <v>0</v>
      </c>
      <c r="K59" s="363"/>
      <c r="L59" s="483">
        <f t="shared" si="1"/>
        <v>0</v>
      </c>
      <c r="M59" s="375">
        <v>-5187312.75</v>
      </c>
      <c r="O59" s="377">
        <f t="shared" si="3"/>
        <v>5187312.75</v>
      </c>
      <c r="P59" s="377">
        <v>6088239.54</v>
      </c>
      <c r="Q59" s="377">
        <f t="shared" si="7"/>
        <v>-900926.79</v>
      </c>
      <c r="S59" s="363">
        <f t="shared" si="8"/>
        <v>0</v>
      </c>
    </row>
    <row r="60" spans="2:19" ht="15" x14ac:dyDescent="0.2">
      <c r="B60" s="306"/>
      <c r="C60" s="307" t="s">
        <v>278</v>
      </c>
      <c r="D60" s="377">
        <v>1000000</v>
      </c>
      <c r="E60" s="377">
        <f t="shared" si="4"/>
        <v>19341154.969999999</v>
      </c>
      <c r="F60" s="376">
        <f t="shared" si="5"/>
        <v>20341154.969999999</v>
      </c>
      <c r="G60" s="377">
        <v>20341154.969999999</v>
      </c>
      <c r="H60" s="377">
        <v>20211743.050000001</v>
      </c>
      <c r="I60" s="376">
        <f t="shared" si="6"/>
        <v>0</v>
      </c>
      <c r="K60" s="363"/>
      <c r="L60" s="483">
        <f t="shared" si="1"/>
        <v>0</v>
      </c>
      <c r="M60" s="375">
        <v>-19341154.969999999</v>
      </c>
      <c r="O60" s="377">
        <f t="shared" si="3"/>
        <v>19341154.969999999</v>
      </c>
      <c r="P60" s="377">
        <v>56376043.109999999</v>
      </c>
      <c r="Q60" s="377">
        <f t="shared" si="7"/>
        <v>-37034888.140000001</v>
      </c>
      <c r="S60" s="363">
        <f t="shared" si="8"/>
        <v>129411.91999999806</v>
      </c>
    </row>
    <row r="61" spans="2:19" ht="15" x14ac:dyDescent="0.2">
      <c r="B61" s="306"/>
      <c r="C61" s="307" t="s">
        <v>279</v>
      </c>
      <c r="D61" s="377">
        <v>115000000</v>
      </c>
      <c r="E61" s="377">
        <f t="shared" si="4"/>
        <v>-114602100</v>
      </c>
      <c r="F61" s="376">
        <f t="shared" si="5"/>
        <v>397900</v>
      </c>
      <c r="G61" s="377">
        <v>397900</v>
      </c>
      <c r="H61" s="377">
        <v>397900</v>
      </c>
      <c r="I61" s="376">
        <f t="shared" si="6"/>
        <v>0</v>
      </c>
      <c r="K61" s="363"/>
      <c r="L61" s="483">
        <f t="shared" si="1"/>
        <v>0</v>
      </c>
      <c r="M61" s="375">
        <v>114602100</v>
      </c>
      <c r="O61" s="377">
        <f t="shared" si="3"/>
        <v>-114602100</v>
      </c>
      <c r="P61" s="377">
        <v>-114602100</v>
      </c>
      <c r="Q61" s="377">
        <f t="shared" si="7"/>
        <v>0</v>
      </c>
      <c r="S61" s="363">
        <f t="shared" si="8"/>
        <v>0</v>
      </c>
    </row>
    <row r="62" spans="2:19" ht="15" x14ac:dyDescent="0.2">
      <c r="B62" s="306"/>
      <c r="C62" s="307" t="s">
        <v>280</v>
      </c>
      <c r="D62" s="377">
        <v>0</v>
      </c>
      <c r="E62" s="377">
        <f t="shared" si="4"/>
        <v>121991685.40000001</v>
      </c>
      <c r="F62" s="376">
        <f t="shared" si="5"/>
        <v>121991685.40000001</v>
      </c>
      <c r="G62" s="377">
        <v>121991685.40000001</v>
      </c>
      <c r="H62" s="377">
        <v>119455767.09999999</v>
      </c>
      <c r="I62" s="376">
        <f t="shared" si="6"/>
        <v>0</v>
      </c>
      <c r="K62" s="363"/>
      <c r="L62" s="483">
        <f t="shared" si="1"/>
        <v>0</v>
      </c>
      <c r="M62" s="375">
        <v>-121991685.40000001</v>
      </c>
      <c r="O62" s="377">
        <f t="shared" si="3"/>
        <v>121991685.40000001</v>
      </c>
      <c r="P62" s="377">
        <v>119223640</v>
      </c>
      <c r="Q62" s="377">
        <f t="shared" si="7"/>
        <v>2768045.400000006</v>
      </c>
      <c r="S62" s="363">
        <f t="shared" si="8"/>
        <v>2535918.3000000119</v>
      </c>
    </row>
    <row r="63" spans="2:19" ht="15" x14ac:dyDescent="0.2">
      <c r="B63" s="306"/>
      <c r="C63" s="307" t="s">
        <v>37</v>
      </c>
      <c r="D63" s="377">
        <v>17904866.57</v>
      </c>
      <c r="E63" s="377">
        <f t="shared" si="4"/>
        <v>-11657313.02</v>
      </c>
      <c r="F63" s="376">
        <f t="shared" si="5"/>
        <v>6247553.5500000007</v>
      </c>
      <c r="G63" s="377">
        <v>6247553.5499999998</v>
      </c>
      <c r="H63" s="377">
        <v>4391553.55</v>
      </c>
      <c r="I63" s="376">
        <f t="shared" si="6"/>
        <v>0</v>
      </c>
      <c r="K63" s="363"/>
      <c r="L63" s="483">
        <f t="shared" si="1"/>
        <v>0</v>
      </c>
      <c r="M63" s="375">
        <v>11657313.02</v>
      </c>
      <c r="O63" s="377">
        <f t="shared" si="3"/>
        <v>-11657313.02</v>
      </c>
      <c r="P63" s="377">
        <v>-8419494.8300000001</v>
      </c>
      <c r="Q63" s="377">
        <f t="shared" si="7"/>
        <v>-3237818.1899999995</v>
      </c>
      <c r="S63" s="363">
        <f t="shared" si="8"/>
        <v>1856000</v>
      </c>
    </row>
    <row r="64" spans="2:19" ht="15" x14ac:dyDescent="0.2">
      <c r="B64" s="854" t="s">
        <v>127</v>
      </c>
      <c r="C64" s="855"/>
      <c r="D64" s="376">
        <f>SUM(D65:D67)</f>
        <v>3971129978</v>
      </c>
      <c r="E64" s="376">
        <f>SUM(E65:E67)</f>
        <v>-1863278682.3999999</v>
      </c>
      <c r="F64" s="376">
        <f t="shared" si="11"/>
        <v>2107851295.6000001</v>
      </c>
      <c r="G64" s="376">
        <f t="shared" ref="G64:H64" si="19">SUM(G65:G67)</f>
        <v>2107851295.6000001</v>
      </c>
      <c r="H64" s="376">
        <f t="shared" si="19"/>
        <v>1809627162.4199998</v>
      </c>
      <c r="I64" s="376">
        <f t="shared" si="6"/>
        <v>0</v>
      </c>
      <c r="K64" s="363"/>
      <c r="L64" s="483">
        <f t="shared" si="1"/>
        <v>0</v>
      </c>
      <c r="M64" s="375">
        <v>1863278682.3999999</v>
      </c>
      <c r="O64" s="376">
        <f t="shared" si="3"/>
        <v>-1863278682.3999999</v>
      </c>
      <c r="P64" s="376">
        <f t="shared" ref="P64:Q64" si="20">SUM(P65:P67)</f>
        <v>2312985451.5099998</v>
      </c>
      <c r="Q64" s="376">
        <f t="shared" si="20"/>
        <v>-4176264133.9099998</v>
      </c>
      <c r="R64" s="363"/>
      <c r="S64" s="363">
        <f t="shared" si="8"/>
        <v>298224133.18000031</v>
      </c>
    </row>
    <row r="65" spans="2:19" ht="15" x14ac:dyDescent="0.2">
      <c r="B65" s="306"/>
      <c r="C65" s="307" t="s">
        <v>281</v>
      </c>
      <c r="D65" s="377">
        <v>3961129978</v>
      </c>
      <c r="E65" s="377">
        <f t="shared" si="4"/>
        <v>-2276356201.5999999</v>
      </c>
      <c r="F65" s="376">
        <f t="shared" si="5"/>
        <v>1684773776.4000001</v>
      </c>
      <c r="G65" s="377">
        <v>1684773776.4000001</v>
      </c>
      <c r="H65" s="377">
        <v>1529056392.3299999</v>
      </c>
      <c r="I65" s="376">
        <f t="shared" si="6"/>
        <v>0</v>
      </c>
      <c r="K65" s="363"/>
      <c r="L65" s="483">
        <f t="shared" si="1"/>
        <v>0</v>
      </c>
      <c r="M65" s="375">
        <v>2276356201.5999999</v>
      </c>
      <c r="O65" s="377">
        <f t="shared" si="3"/>
        <v>-2276356201.5999999</v>
      </c>
      <c r="P65" s="377">
        <v>1683351543.9000001</v>
      </c>
      <c r="Q65" s="377">
        <f t="shared" si="7"/>
        <v>-3959707745.5</v>
      </c>
      <c r="S65" s="363">
        <f t="shared" si="8"/>
        <v>155717384.07000017</v>
      </c>
    </row>
    <row r="66" spans="2:19" ht="15" x14ac:dyDescent="0.2">
      <c r="B66" s="306"/>
      <c r="C66" s="307" t="s">
        <v>282</v>
      </c>
      <c r="D66" s="377">
        <v>10000000</v>
      </c>
      <c r="E66" s="377">
        <f t="shared" si="4"/>
        <v>276220309.42000002</v>
      </c>
      <c r="F66" s="376">
        <f t="shared" si="5"/>
        <v>286220309.42000002</v>
      </c>
      <c r="G66" s="377">
        <v>286220309.42000002</v>
      </c>
      <c r="H66" s="377">
        <v>243019928.78</v>
      </c>
      <c r="I66" s="376">
        <f t="shared" si="6"/>
        <v>0</v>
      </c>
      <c r="K66" s="363"/>
      <c r="L66" s="483">
        <f t="shared" si="1"/>
        <v>0</v>
      </c>
      <c r="M66" s="375">
        <v>-276220309.42000002</v>
      </c>
      <c r="O66" s="377">
        <f t="shared" si="3"/>
        <v>276220309.42000002</v>
      </c>
      <c r="P66" s="377">
        <v>516158553.19999999</v>
      </c>
      <c r="Q66" s="377">
        <f t="shared" si="7"/>
        <v>-239938243.77999997</v>
      </c>
      <c r="S66" s="363">
        <f t="shared" si="8"/>
        <v>43200380.640000015</v>
      </c>
    </row>
    <row r="67" spans="2:19" ht="15" x14ac:dyDescent="0.2">
      <c r="B67" s="306"/>
      <c r="C67" s="307" t="s">
        <v>283</v>
      </c>
      <c r="D67" s="377">
        <v>0</v>
      </c>
      <c r="E67" s="377">
        <f t="shared" si="4"/>
        <v>136857209.78</v>
      </c>
      <c r="F67" s="376">
        <f t="shared" si="5"/>
        <v>136857209.78</v>
      </c>
      <c r="G67" s="377">
        <v>136857209.78</v>
      </c>
      <c r="H67" s="377">
        <v>37550841.310000002</v>
      </c>
      <c r="I67" s="376">
        <f t="shared" si="6"/>
        <v>0</v>
      </c>
      <c r="K67" s="363"/>
      <c r="L67" s="483">
        <f t="shared" si="1"/>
        <v>0</v>
      </c>
      <c r="M67" s="375">
        <v>-136857209.78</v>
      </c>
      <c r="O67" s="377">
        <f t="shared" si="3"/>
        <v>136857209.78</v>
      </c>
      <c r="P67" s="377">
        <v>113475354.41</v>
      </c>
      <c r="Q67" s="377">
        <f t="shared" si="7"/>
        <v>23381855.370000005</v>
      </c>
      <c r="S67" s="363">
        <f t="shared" si="8"/>
        <v>99306368.469999999</v>
      </c>
    </row>
    <row r="68" spans="2:19" ht="15" x14ac:dyDescent="0.2">
      <c r="B68" s="854" t="s">
        <v>284</v>
      </c>
      <c r="C68" s="855"/>
      <c r="D68" s="376">
        <f>SUM(D69:D75)</f>
        <v>75885219.939999998</v>
      </c>
      <c r="E68" s="376">
        <f>SUM(E69:E75)</f>
        <v>60870120.49000001</v>
      </c>
      <c r="F68" s="376">
        <f t="shared" si="11"/>
        <v>136755340.43000001</v>
      </c>
      <c r="G68" s="376">
        <f t="shared" ref="G68:H68" si="21">SUM(G69:G75)</f>
        <v>136755340.43000001</v>
      </c>
      <c r="H68" s="376">
        <f t="shared" si="21"/>
        <v>136755340.43000001</v>
      </c>
      <c r="I68" s="376">
        <f t="shared" si="6"/>
        <v>0</v>
      </c>
      <c r="K68" s="363"/>
      <c r="L68" s="483">
        <f t="shared" si="1"/>
        <v>0</v>
      </c>
      <c r="M68" s="375">
        <v>75885219.939999998</v>
      </c>
      <c r="O68" s="376">
        <f t="shared" si="3"/>
        <v>60870120.49000001</v>
      </c>
      <c r="P68" s="376">
        <f t="shared" ref="P68:Q68" si="22">SUM(P69:P75)</f>
        <v>-53300626.380000003</v>
      </c>
      <c r="Q68" s="376">
        <f t="shared" si="22"/>
        <v>114170746.87</v>
      </c>
      <c r="S68" s="363">
        <f t="shared" si="8"/>
        <v>0</v>
      </c>
    </row>
    <row r="69" spans="2:19" ht="28.5" x14ac:dyDescent="0.2">
      <c r="B69" s="306"/>
      <c r="C69" s="307" t="s">
        <v>285</v>
      </c>
      <c r="D69" s="377">
        <v>0</v>
      </c>
      <c r="E69" s="377">
        <f t="shared" si="4"/>
        <v>0</v>
      </c>
      <c r="F69" s="376">
        <f t="shared" si="11"/>
        <v>0</v>
      </c>
      <c r="G69" s="377">
        <v>0</v>
      </c>
      <c r="H69" s="377">
        <v>0</v>
      </c>
      <c r="I69" s="376">
        <f t="shared" si="6"/>
        <v>0</v>
      </c>
      <c r="K69" s="363"/>
      <c r="L69" s="483">
        <f t="shared" si="1"/>
        <v>0</v>
      </c>
      <c r="M69" s="375">
        <v>0</v>
      </c>
      <c r="O69" s="377">
        <f t="shared" si="3"/>
        <v>0</v>
      </c>
      <c r="P69" s="377">
        <v>0</v>
      </c>
      <c r="Q69" s="377">
        <f t="shared" si="7"/>
        <v>0</v>
      </c>
      <c r="S69" s="363">
        <f t="shared" si="8"/>
        <v>0</v>
      </c>
    </row>
    <row r="70" spans="2:19" ht="15" x14ac:dyDescent="0.2">
      <c r="B70" s="306"/>
      <c r="C70" s="307" t="s">
        <v>286</v>
      </c>
      <c r="D70" s="377">
        <v>0</v>
      </c>
      <c r="E70" s="377">
        <f t="shared" si="4"/>
        <v>0</v>
      </c>
      <c r="F70" s="376">
        <f t="shared" si="11"/>
        <v>0</v>
      </c>
      <c r="G70" s="377">
        <v>0</v>
      </c>
      <c r="H70" s="377">
        <v>0</v>
      </c>
      <c r="I70" s="376">
        <f t="shared" si="6"/>
        <v>0</v>
      </c>
      <c r="K70" s="363"/>
      <c r="L70" s="483">
        <f t="shared" si="1"/>
        <v>0</v>
      </c>
      <c r="M70" s="375">
        <v>0</v>
      </c>
      <c r="O70" s="377">
        <f t="shared" si="3"/>
        <v>0</v>
      </c>
      <c r="P70" s="377">
        <v>0</v>
      </c>
      <c r="Q70" s="377">
        <f t="shared" si="7"/>
        <v>0</v>
      </c>
      <c r="S70" s="363">
        <f t="shared" si="8"/>
        <v>0</v>
      </c>
    </row>
    <row r="71" spans="2:19" ht="15" x14ac:dyDescent="0.2">
      <c r="B71" s="306"/>
      <c r="C71" s="307" t="s">
        <v>287</v>
      </c>
      <c r="D71" s="377">
        <v>0</v>
      </c>
      <c r="E71" s="377">
        <f t="shared" si="4"/>
        <v>0</v>
      </c>
      <c r="F71" s="376">
        <f t="shared" si="11"/>
        <v>0</v>
      </c>
      <c r="G71" s="377">
        <v>0</v>
      </c>
      <c r="H71" s="377">
        <v>0</v>
      </c>
      <c r="I71" s="376">
        <f t="shared" si="6"/>
        <v>0</v>
      </c>
      <c r="K71" s="363"/>
      <c r="L71" s="483">
        <f t="shared" si="1"/>
        <v>0</v>
      </c>
      <c r="M71" s="375">
        <v>0</v>
      </c>
      <c r="O71" s="377">
        <f t="shared" si="3"/>
        <v>0</v>
      </c>
      <c r="P71" s="377">
        <v>0</v>
      </c>
      <c r="Q71" s="377">
        <f t="shared" si="7"/>
        <v>0</v>
      </c>
      <c r="S71" s="363">
        <f t="shared" si="8"/>
        <v>0</v>
      </c>
    </row>
    <row r="72" spans="2:19" ht="15" x14ac:dyDescent="0.2">
      <c r="B72" s="306"/>
      <c r="C72" s="307" t="s">
        <v>288</v>
      </c>
      <c r="D72" s="377">
        <v>0</v>
      </c>
      <c r="E72" s="377">
        <f t="shared" si="4"/>
        <v>0</v>
      </c>
      <c r="F72" s="376">
        <f t="shared" si="11"/>
        <v>0</v>
      </c>
      <c r="G72" s="377">
        <v>0</v>
      </c>
      <c r="H72" s="377">
        <v>0</v>
      </c>
      <c r="I72" s="376">
        <f t="shared" si="6"/>
        <v>0</v>
      </c>
      <c r="K72" s="363"/>
      <c r="L72" s="483">
        <f t="shared" si="1"/>
        <v>0</v>
      </c>
      <c r="M72" s="375">
        <v>0</v>
      </c>
      <c r="O72" s="377">
        <f t="shared" si="3"/>
        <v>0</v>
      </c>
      <c r="P72" s="377">
        <v>0</v>
      </c>
      <c r="Q72" s="377">
        <f t="shared" si="7"/>
        <v>0</v>
      </c>
      <c r="S72" s="363">
        <f t="shared" si="8"/>
        <v>0</v>
      </c>
    </row>
    <row r="73" spans="2:19" ht="28.5" x14ac:dyDescent="0.2">
      <c r="B73" s="306"/>
      <c r="C73" s="307" t="s">
        <v>289</v>
      </c>
      <c r="D73" s="377">
        <v>0</v>
      </c>
      <c r="E73" s="377">
        <f t="shared" si="4"/>
        <v>0</v>
      </c>
      <c r="F73" s="376">
        <f t="shared" si="11"/>
        <v>0</v>
      </c>
      <c r="G73" s="377">
        <v>0</v>
      </c>
      <c r="H73" s="377">
        <v>0</v>
      </c>
      <c r="I73" s="376">
        <f t="shared" si="6"/>
        <v>0</v>
      </c>
      <c r="K73" s="363"/>
      <c r="L73" s="483">
        <f t="shared" si="1"/>
        <v>0</v>
      </c>
      <c r="M73" s="375">
        <v>0</v>
      </c>
      <c r="O73" s="377">
        <f t="shared" si="3"/>
        <v>0</v>
      </c>
      <c r="P73" s="377">
        <v>0</v>
      </c>
      <c r="Q73" s="377">
        <f t="shared" si="7"/>
        <v>0</v>
      </c>
      <c r="S73" s="363">
        <f t="shared" si="8"/>
        <v>0</v>
      </c>
    </row>
    <row r="74" spans="2:19" ht="15" x14ac:dyDescent="0.2">
      <c r="B74" s="306"/>
      <c r="C74" s="307" t="s">
        <v>290</v>
      </c>
      <c r="D74" s="377">
        <v>74885219.939999998</v>
      </c>
      <c r="E74" s="377">
        <f t="shared" si="4"/>
        <v>61870120.49000001</v>
      </c>
      <c r="F74" s="376">
        <f t="shared" si="11"/>
        <v>136755340.43000001</v>
      </c>
      <c r="G74" s="377">
        <v>136755340.43000001</v>
      </c>
      <c r="H74" s="377">
        <f>+G74</f>
        <v>136755340.43000001</v>
      </c>
      <c r="I74" s="376">
        <f t="shared" si="6"/>
        <v>0</v>
      </c>
      <c r="K74" s="363"/>
      <c r="L74" s="483">
        <f t="shared" si="1"/>
        <v>0</v>
      </c>
      <c r="M74" s="375">
        <v>-61870120.49000001</v>
      </c>
      <c r="O74" s="377">
        <f t="shared" si="3"/>
        <v>61870120.49000001</v>
      </c>
      <c r="P74" s="377">
        <v>-52300626.380000003</v>
      </c>
      <c r="Q74" s="377">
        <f t="shared" si="7"/>
        <v>114170746.87</v>
      </c>
      <c r="S74" s="363">
        <f t="shared" si="8"/>
        <v>0</v>
      </c>
    </row>
    <row r="75" spans="2:19" ht="28.5" x14ac:dyDescent="0.2">
      <c r="B75" s="306"/>
      <c r="C75" s="307" t="s">
        <v>291</v>
      </c>
      <c r="D75" s="377">
        <v>1000000</v>
      </c>
      <c r="E75" s="377">
        <f t="shared" si="4"/>
        <v>-1000000</v>
      </c>
      <c r="F75" s="376">
        <f t="shared" si="11"/>
        <v>0</v>
      </c>
      <c r="G75" s="377">
        <v>0</v>
      </c>
      <c r="H75" s="377">
        <v>0</v>
      </c>
      <c r="I75" s="376">
        <f t="shared" si="6"/>
        <v>0</v>
      </c>
      <c r="K75" s="363"/>
      <c r="L75" s="483">
        <f t="shared" si="1"/>
        <v>0</v>
      </c>
      <c r="M75" s="375">
        <v>1000000</v>
      </c>
      <c r="O75" s="377">
        <f t="shared" si="3"/>
        <v>-1000000</v>
      </c>
      <c r="P75" s="377">
        <v>-1000000</v>
      </c>
      <c r="Q75" s="377">
        <f t="shared" si="7"/>
        <v>0</v>
      </c>
      <c r="S75" s="363">
        <f t="shared" si="8"/>
        <v>0</v>
      </c>
    </row>
    <row r="76" spans="2:19" ht="15" x14ac:dyDescent="0.2">
      <c r="B76" s="854" t="s">
        <v>101</v>
      </c>
      <c r="C76" s="855"/>
      <c r="D76" s="376">
        <f>SUM(D77:D79)</f>
        <v>5379927672.6999998</v>
      </c>
      <c r="E76" s="376">
        <f>SUM(E77:E79)</f>
        <v>818251219.49000025</v>
      </c>
      <c r="F76" s="376">
        <f t="shared" si="11"/>
        <v>6198178892.1900005</v>
      </c>
      <c r="G76" s="376">
        <f t="shared" ref="G76" si="23">SUM(G77:G79)</f>
        <v>6198178892.1900005</v>
      </c>
      <c r="H76" s="376">
        <f>SUM(H77:H79)</f>
        <v>5957714362.0900002</v>
      </c>
      <c r="I76" s="376">
        <f t="shared" si="6"/>
        <v>0</v>
      </c>
      <c r="K76" s="363"/>
      <c r="L76" s="483">
        <f t="shared" si="1"/>
        <v>0</v>
      </c>
      <c r="M76" s="375">
        <v>-818251219.49000072</v>
      </c>
      <c r="O76" s="376">
        <f t="shared" si="3"/>
        <v>818251219.49000025</v>
      </c>
      <c r="P76" s="376">
        <f t="shared" ref="P76:Q76" si="24">SUM(P77:P79)</f>
        <v>1111667926.3400002</v>
      </c>
      <c r="Q76" s="376">
        <f t="shared" si="24"/>
        <v>-293416706.84999979</v>
      </c>
      <c r="S76" s="363">
        <f t="shared" si="8"/>
        <v>240464530.10000038</v>
      </c>
    </row>
    <row r="77" spans="2:19" ht="15" x14ac:dyDescent="0.2">
      <c r="B77" s="306"/>
      <c r="C77" s="307" t="s">
        <v>110</v>
      </c>
      <c r="D77" s="377">
        <v>3433099621.6999998</v>
      </c>
      <c r="E77" s="377">
        <f t="shared" si="4"/>
        <v>-7426910.7699999809</v>
      </c>
      <c r="F77" s="376">
        <f t="shared" si="11"/>
        <v>3425672710.9299998</v>
      </c>
      <c r="G77" s="377">
        <v>3425672710.9299998</v>
      </c>
      <c r="H77" s="377">
        <v>3234779446.9299998</v>
      </c>
      <c r="I77" s="376">
        <f t="shared" si="6"/>
        <v>0</v>
      </c>
      <c r="K77" s="363"/>
      <c r="L77" s="483">
        <f t="shared" si="1"/>
        <v>0</v>
      </c>
      <c r="M77" s="375">
        <v>7426910.7699999809</v>
      </c>
      <c r="O77" s="377">
        <f t="shared" si="3"/>
        <v>-7426910.7699999809</v>
      </c>
      <c r="P77" s="377">
        <v>249763274.61000001</v>
      </c>
      <c r="Q77" s="377">
        <f t="shared" si="7"/>
        <v>-257190185.38</v>
      </c>
      <c r="S77" s="363">
        <f t="shared" si="8"/>
        <v>190893264</v>
      </c>
    </row>
    <row r="78" spans="2:19" ht="15" x14ac:dyDescent="0.2">
      <c r="B78" s="306"/>
      <c r="C78" s="307" t="s">
        <v>50</v>
      </c>
      <c r="D78" s="377">
        <v>1946828051</v>
      </c>
      <c r="E78" s="377">
        <f t="shared" si="4"/>
        <v>530628192.03000021</v>
      </c>
      <c r="F78" s="376">
        <f t="shared" si="11"/>
        <v>2477456243.0300002</v>
      </c>
      <c r="G78" s="377">
        <v>2477456243.0300002</v>
      </c>
      <c r="H78" s="377">
        <v>2427884976.9299998</v>
      </c>
      <c r="I78" s="376">
        <f t="shared" si="6"/>
        <v>0</v>
      </c>
      <c r="K78" s="363"/>
      <c r="L78" s="483">
        <f t="shared" si="1"/>
        <v>0</v>
      </c>
      <c r="M78" s="375">
        <v>-530628192.03000021</v>
      </c>
      <c r="O78" s="377">
        <f t="shared" si="3"/>
        <v>530628192.03000021</v>
      </c>
      <c r="P78" s="377">
        <v>560804168.99000001</v>
      </c>
      <c r="Q78" s="377">
        <f t="shared" si="7"/>
        <v>-30175976.9599998</v>
      </c>
      <c r="S78" s="363">
        <f t="shared" si="8"/>
        <v>49571266.100000381</v>
      </c>
    </row>
    <row r="79" spans="2:19" ht="15" x14ac:dyDescent="0.2">
      <c r="B79" s="306"/>
      <c r="C79" s="307" t="s">
        <v>113</v>
      </c>
      <c r="D79" s="377">
        <v>0</v>
      </c>
      <c r="E79" s="377">
        <f t="shared" si="4"/>
        <v>295049938.23000002</v>
      </c>
      <c r="F79" s="376">
        <f t="shared" si="11"/>
        <v>295049938.23000002</v>
      </c>
      <c r="G79" s="377">
        <v>295049938.23000002</v>
      </c>
      <c r="H79" s="377">
        <v>295049938.23000002</v>
      </c>
      <c r="I79" s="376">
        <f t="shared" si="6"/>
        <v>0</v>
      </c>
      <c r="K79" s="363"/>
      <c r="L79" s="483">
        <f t="shared" si="1"/>
        <v>0</v>
      </c>
      <c r="M79" s="375">
        <v>-295049938.23000002</v>
      </c>
      <c r="O79" s="377">
        <f t="shared" si="3"/>
        <v>295049938.23000002</v>
      </c>
      <c r="P79" s="377">
        <v>301100482.74000001</v>
      </c>
      <c r="Q79" s="377">
        <f t="shared" si="7"/>
        <v>-6050544.5099999905</v>
      </c>
      <c r="S79" s="363">
        <f t="shared" si="8"/>
        <v>0</v>
      </c>
    </row>
    <row r="80" spans="2:19" ht="15" x14ac:dyDescent="0.2">
      <c r="B80" s="854" t="s">
        <v>292</v>
      </c>
      <c r="C80" s="855"/>
      <c r="D80" s="376">
        <f>SUM(D81:D87)</f>
        <v>3368789072.2800002</v>
      </c>
      <c r="E80" s="376">
        <f>SUM(E81:E87)</f>
        <v>744837762.56999993</v>
      </c>
      <c r="F80" s="376">
        <f t="shared" si="11"/>
        <v>4113626834.8500004</v>
      </c>
      <c r="G80" s="376">
        <f t="shared" ref="G80" si="25">SUM(G81:G87)</f>
        <v>4113626834.8299999</v>
      </c>
      <c r="H80" s="376">
        <f t="shared" ref="H80" si="26">SUM(H81:H87)</f>
        <v>4113626834.8299999</v>
      </c>
      <c r="I80" s="376">
        <f t="shared" si="6"/>
        <v>2.0000457763671875E-2</v>
      </c>
      <c r="K80" s="363"/>
      <c r="L80" s="483">
        <f t="shared" si="1"/>
        <v>2.0000457763671875E-2</v>
      </c>
      <c r="M80" s="375">
        <v>107404314.45000029</v>
      </c>
      <c r="O80" s="376">
        <f t="shared" si="3"/>
        <v>744837762.56999993</v>
      </c>
      <c r="P80" s="376">
        <f t="shared" ref="P80:Q80" si="27">SUM(P81:P87)</f>
        <v>308068996.38</v>
      </c>
      <c r="Q80" s="376">
        <f t="shared" si="27"/>
        <v>436768766.18999994</v>
      </c>
      <c r="S80" s="363">
        <f t="shared" si="8"/>
        <v>0</v>
      </c>
    </row>
    <row r="81" spans="1:19" ht="15" x14ac:dyDescent="0.2">
      <c r="B81" s="306"/>
      <c r="C81" s="307" t="s">
        <v>293</v>
      </c>
      <c r="D81" s="377">
        <v>189785411.59999999</v>
      </c>
      <c r="E81" s="499">
        <v>830000000</v>
      </c>
      <c r="F81" s="376">
        <f t="shared" si="11"/>
        <v>1019785411.6</v>
      </c>
      <c r="G81" s="499">
        <v>1019785411.58</v>
      </c>
      <c r="H81" s="499">
        <v>1019785411.58</v>
      </c>
      <c r="I81" s="376">
        <f t="shared" ref="I81:I86" si="28">+F81-G81</f>
        <v>1.9999980926513672E-2</v>
      </c>
      <c r="K81" s="363"/>
      <c r="L81" s="483">
        <f t="shared" si="1"/>
        <v>1.9999980926513672E-2</v>
      </c>
      <c r="M81" s="375">
        <v>1.9999980926513672E-2</v>
      </c>
      <c r="O81" s="499">
        <f t="shared" ref="O81:O88" si="29">+E81</f>
        <v>830000000</v>
      </c>
      <c r="P81" s="499">
        <v>500932019.56999999</v>
      </c>
      <c r="Q81" s="377">
        <f t="shared" si="7"/>
        <v>329067980.43000001</v>
      </c>
      <c r="S81" s="363">
        <f t="shared" si="8"/>
        <v>0</v>
      </c>
    </row>
    <row r="82" spans="1:19" ht="15" x14ac:dyDescent="0.2">
      <c r="B82" s="306"/>
      <c r="C82" s="307" t="s">
        <v>116</v>
      </c>
      <c r="D82" s="377">
        <v>2410497843</v>
      </c>
      <c r="E82" s="377">
        <f t="shared" ref="E82:E86" si="30">-M82</f>
        <v>-112253512.23000002</v>
      </c>
      <c r="F82" s="376">
        <f t="shared" si="11"/>
        <v>2298244330.77</v>
      </c>
      <c r="G82" s="377">
        <v>2298244330.77</v>
      </c>
      <c r="H82" s="377">
        <v>2298244330.77</v>
      </c>
      <c r="I82" s="376">
        <f t="shared" si="28"/>
        <v>0</v>
      </c>
      <c r="K82" s="363"/>
      <c r="L82" s="483">
        <f t="shared" ref="L82:L88" si="31">+F82-G82</f>
        <v>0</v>
      </c>
      <c r="M82" s="375">
        <v>112253512.23000002</v>
      </c>
      <c r="O82" s="377">
        <f t="shared" si="29"/>
        <v>-112253512.23000002</v>
      </c>
      <c r="P82" s="377">
        <v>-235645262.97999999</v>
      </c>
      <c r="Q82" s="377">
        <f t="shared" ref="Q82:Q87" si="32">+O82-P82</f>
        <v>123391750.74999997</v>
      </c>
      <c r="S82" s="363">
        <f t="shared" ref="S82:S88" si="33">+G82-H82</f>
        <v>0</v>
      </c>
    </row>
    <row r="83" spans="1:19" ht="15" x14ac:dyDescent="0.2">
      <c r="B83" s="306"/>
      <c r="C83" s="307" t="s">
        <v>117</v>
      </c>
      <c r="D83" s="377">
        <v>0</v>
      </c>
      <c r="E83" s="377">
        <f t="shared" si="30"/>
        <v>0</v>
      </c>
      <c r="F83" s="376">
        <f t="shared" si="11"/>
        <v>0</v>
      </c>
      <c r="G83" s="377">
        <v>0</v>
      </c>
      <c r="H83" s="377">
        <v>0</v>
      </c>
      <c r="I83" s="376">
        <f t="shared" si="28"/>
        <v>0</v>
      </c>
      <c r="K83" s="363"/>
      <c r="L83" s="483">
        <f t="shared" si="31"/>
        <v>0</v>
      </c>
      <c r="M83" s="375">
        <v>0</v>
      </c>
      <c r="O83" s="377">
        <f t="shared" si="29"/>
        <v>0</v>
      </c>
      <c r="P83" s="377">
        <v>0</v>
      </c>
      <c r="Q83" s="377">
        <f t="shared" si="32"/>
        <v>0</v>
      </c>
      <c r="S83" s="363">
        <f t="shared" si="33"/>
        <v>0</v>
      </c>
    </row>
    <row r="84" spans="1:19" ht="15" x14ac:dyDescent="0.2">
      <c r="B84" s="306"/>
      <c r="C84" s="307" t="s">
        <v>118</v>
      </c>
      <c r="D84" s="377">
        <v>8604390.3800000008</v>
      </c>
      <c r="E84" s="377">
        <f t="shared" si="30"/>
        <v>-932236.83000000101</v>
      </c>
      <c r="F84" s="376">
        <f t="shared" si="11"/>
        <v>7672153.5499999998</v>
      </c>
      <c r="G84" s="377">
        <v>7672153.5499999998</v>
      </c>
      <c r="H84" s="377">
        <v>7672153.5499999998</v>
      </c>
      <c r="I84" s="376">
        <f>+F84-G84</f>
        <v>0</v>
      </c>
      <c r="K84" s="363"/>
      <c r="L84" s="483">
        <f t="shared" si="31"/>
        <v>0</v>
      </c>
      <c r="M84" s="375">
        <v>932236.83000000101</v>
      </c>
      <c r="O84" s="377">
        <f t="shared" si="29"/>
        <v>-932236.83000000101</v>
      </c>
      <c r="P84" s="377">
        <v>0</v>
      </c>
      <c r="Q84" s="377">
        <f t="shared" si="32"/>
        <v>-932236.83000000101</v>
      </c>
      <c r="S84" s="363">
        <f t="shared" si="33"/>
        <v>0</v>
      </c>
    </row>
    <row r="85" spans="1:19" ht="15" x14ac:dyDescent="0.2">
      <c r="B85" s="306"/>
      <c r="C85" s="307" t="s">
        <v>119</v>
      </c>
      <c r="D85" s="377">
        <v>159901427.30000001</v>
      </c>
      <c r="E85" s="377">
        <f t="shared" si="30"/>
        <v>5781434.6299999952</v>
      </c>
      <c r="F85" s="376">
        <f t="shared" si="11"/>
        <v>165682861.93000001</v>
      </c>
      <c r="G85" s="377">
        <v>165682861.93000001</v>
      </c>
      <c r="H85" s="377">
        <v>165682861.93000001</v>
      </c>
      <c r="I85" s="376">
        <f t="shared" si="28"/>
        <v>0</v>
      </c>
      <c r="K85" s="363"/>
      <c r="L85" s="483">
        <f t="shared" si="31"/>
        <v>0</v>
      </c>
      <c r="M85" s="375">
        <v>-5781434.6299999952</v>
      </c>
      <c r="O85" s="377">
        <f t="shared" si="29"/>
        <v>5781434.6299999952</v>
      </c>
      <c r="P85" s="377">
        <v>20540162.789999999</v>
      </c>
      <c r="Q85" s="377">
        <f t="shared" si="32"/>
        <v>-14758728.160000004</v>
      </c>
      <c r="S85" s="363">
        <f t="shared" si="33"/>
        <v>0</v>
      </c>
    </row>
    <row r="86" spans="1:19" ht="15" x14ac:dyDescent="0.2">
      <c r="B86" s="306"/>
      <c r="C86" s="307" t="s">
        <v>120</v>
      </c>
      <c r="D86" s="377">
        <v>0</v>
      </c>
      <c r="E86" s="377">
        <f t="shared" si="30"/>
        <v>0</v>
      </c>
      <c r="F86" s="376">
        <f t="shared" si="11"/>
        <v>0</v>
      </c>
      <c r="G86" s="377">
        <v>0</v>
      </c>
      <c r="H86" s="377">
        <v>0</v>
      </c>
      <c r="I86" s="376">
        <f t="shared" si="28"/>
        <v>0</v>
      </c>
      <c r="K86" s="363"/>
      <c r="L86" s="483">
        <f t="shared" si="31"/>
        <v>0</v>
      </c>
      <c r="M86" s="375">
        <v>0</v>
      </c>
      <c r="O86" s="377">
        <f t="shared" si="29"/>
        <v>0</v>
      </c>
      <c r="P86" s="377">
        <v>0</v>
      </c>
      <c r="Q86" s="377">
        <f t="shared" si="32"/>
        <v>0</v>
      </c>
      <c r="S86" s="363">
        <f t="shared" si="33"/>
        <v>0</v>
      </c>
    </row>
    <row r="87" spans="1:19" ht="15" x14ac:dyDescent="0.2">
      <c r="B87" s="306"/>
      <c r="C87" s="307" t="s">
        <v>294</v>
      </c>
      <c r="D87" s="377">
        <v>600000000</v>
      </c>
      <c r="E87" s="499">
        <v>22242077</v>
      </c>
      <c r="F87" s="376">
        <f t="shared" si="11"/>
        <v>622242077</v>
      </c>
      <c r="G87" s="377">
        <v>622242077</v>
      </c>
      <c r="H87" s="377">
        <f>+G87</f>
        <v>622242077</v>
      </c>
      <c r="I87" s="515">
        <f>+F87-G87</f>
        <v>0</v>
      </c>
      <c r="K87" s="363"/>
      <c r="L87" s="483">
        <f t="shared" si="31"/>
        <v>0</v>
      </c>
      <c r="M87" s="674">
        <v>0</v>
      </c>
      <c r="O87" s="499">
        <f t="shared" si="29"/>
        <v>22242077</v>
      </c>
      <c r="P87" s="377">
        <v>22242077</v>
      </c>
      <c r="Q87" s="377">
        <f t="shared" si="32"/>
        <v>0</v>
      </c>
      <c r="S87" s="363">
        <f t="shared" si="33"/>
        <v>0</v>
      </c>
    </row>
    <row r="88" spans="1:19" s="294" customFormat="1" ht="15" x14ac:dyDescent="0.25">
      <c r="A88" s="293"/>
      <c r="B88" s="309"/>
      <c r="C88" s="310" t="s">
        <v>240</v>
      </c>
      <c r="D88" s="378">
        <f>+D16+D24+D34+D44+D54+D64+D68+D76+D80</f>
        <v>43763068350</v>
      </c>
      <c r="E88" s="378">
        <f t="shared" ref="E88:H88" si="34">+E16+E24+E34+E44+E54+E64+E68+E76+E80</f>
        <v>2731909576.250001</v>
      </c>
      <c r="F88" s="378">
        <f t="shared" si="34"/>
        <v>46494977926.25</v>
      </c>
      <c r="G88" s="378">
        <f t="shared" si="34"/>
        <v>46494977926.230003</v>
      </c>
      <c r="H88" s="378">
        <f t="shared" si="34"/>
        <v>44814501323.600006</v>
      </c>
      <c r="I88" s="378">
        <f>+I16+I24+I34+I44+I54+I64+I68+I76+I80</f>
        <v>2.0000457763671875E-2</v>
      </c>
      <c r="J88" s="387"/>
      <c r="L88" s="483">
        <f t="shared" si="31"/>
        <v>1.999664306640625E-2</v>
      </c>
      <c r="M88" s="675">
        <v>-1742912158.8000031</v>
      </c>
      <c r="O88" s="378">
        <f t="shared" si="29"/>
        <v>2731909576.250001</v>
      </c>
      <c r="P88" s="378">
        <f t="shared" ref="P88:Q88" si="35">+P16+P24+P34+P44+P54+P64+P68+P76+P80</f>
        <v>10565434314.960001</v>
      </c>
      <c r="Q88" s="378">
        <f t="shared" si="35"/>
        <v>-7833524738.7099991</v>
      </c>
      <c r="S88" s="363">
        <f t="shared" si="33"/>
        <v>1680476602.6299973</v>
      </c>
    </row>
    <row r="89" spans="1:19" x14ac:dyDescent="0.2">
      <c r="D89" s="379"/>
      <c r="E89" s="379"/>
      <c r="F89" s="379"/>
      <c r="G89" s="379"/>
      <c r="H89" s="379"/>
      <c r="I89" s="379"/>
      <c r="J89" s="388"/>
    </row>
    <row r="90" spans="1:19" x14ac:dyDescent="0.2">
      <c r="D90" s="16" t="str">
        <f>IF('E A Eje Presup Egresos CA'!D67=COG!D88," ","ERROR")</f>
        <v xml:space="preserve"> </v>
      </c>
      <c r="E90" s="16" t="str">
        <f>IF('E A Eje Presup Egresos CA'!E67=COG!E88," ","ERROR")</f>
        <v xml:space="preserve"> </v>
      </c>
      <c r="F90" s="16" t="str">
        <f>IF('E A Eje Presup Egresos CA'!F67=COG!F88," ","ERROR")</f>
        <v xml:space="preserve"> </v>
      </c>
      <c r="G90" s="16" t="str">
        <f>IF('E A Eje Presup Egresos CA'!G67=COG!G88," ","ERROR")</f>
        <v xml:space="preserve"> </v>
      </c>
      <c r="H90" s="16" t="str">
        <f>IF('E A Eje Presup Egresos CA'!H67=COG!H88," ","ERROR")</f>
        <v xml:space="preserve"> </v>
      </c>
      <c r="I90" s="456" t="str">
        <f>IF('E A Eje Presup Egresos CA'!I67=COG!I88," ","ERROR")</f>
        <v>ERROR</v>
      </c>
      <c r="L90" s="483"/>
    </row>
    <row r="91" spans="1:19" ht="15" hidden="1" thickBot="1" x14ac:dyDescent="0.25">
      <c r="E91" s="443"/>
      <c r="F91" s="443"/>
      <c r="G91" s="363"/>
      <c r="H91" s="363"/>
      <c r="P91" s="363">
        <f>+P88-O88</f>
        <v>7833524738.71</v>
      </c>
    </row>
    <row r="92" spans="1:19" hidden="1" x14ac:dyDescent="0.2">
      <c r="C92" s="427"/>
      <c r="D92" s="682"/>
      <c r="E92" s="683"/>
      <c r="F92" s="684"/>
      <c r="G92" s="685">
        <v>46494977926.230003</v>
      </c>
      <c r="H92" s="686">
        <f>+H102</f>
        <v>44679407253.580002</v>
      </c>
      <c r="I92" s="684"/>
      <c r="J92" s="687"/>
    </row>
    <row r="93" spans="1:19" hidden="1" x14ac:dyDescent="0.2">
      <c r="C93" s="427"/>
      <c r="D93" s="688"/>
      <c r="E93" s="555"/>
      <c r="F93" s="546"/>
      <c r="G93" s="546"/>
      <c r="H93" s="465"/>
      <c r="I93" s="635"/>
      <c r="J93" s="689"/>
    </row>
    <row r="94" spans="1:19" hidden="1" x14ac:dyDescent="0.2">
      <c r="C94" s="427"/>
      <c r="D94" s="690">
        <f t="shared" ref="D94:F94" si="36">+D92-D88</f>
        <v>-43763068350</v>
      </c>
      <c r="E94" s="441">
        <f t="shared" si="36"/>
        <v>-2731909576.250001</v>
      </c>
      <c r="F94" s="441">
        <f t="shared" si="36"/>
        <v>-46494977926.25</v>
      </c>
      <c r="G94" s="673">
        <f>+G92-G88</f>
        <v>0</v>
      </c>
      <c r="H94" s="673">
        <f t="shared" ref="H94:I94" si="37">+H92-H88</f>
        <v>-135094070.02000427</v>
      </c>
      <c r="I94" s="441">
        <f t="shared" si="37"/>
        <v>-2.0000457763671875E-2</v>
      </c>
      <c r="J94" s="689"/>
    </row>
    <row r="95" spans="1:19" hidden="1" x14ac:dyDescent="0.2">
      <c r="C95" s="427"/>
      <c r="D95" s="691"/>
      <c r="E95" s="544"/>
      <c r="F95" s="547"/>
      <c r="G95" s="441"/>
      <c r="H95" s="465"/>
      <c r="I95" s="460"/>
      <c r="J95" s="689"/>
    </row>
    <row r="96" spans="1:19" hidden="1" x14ac:dyDescent="0.2">
      <c r="C96" s="427"/>
      <c r="D96" s="692"/>
      <c r="E96" s="545"/>
      <c r="F96" s="548"/>
      <c r="G96" s="441"/>
      <c r="H96" s="465"/>
      <c r="I96" s="460"/>
      <c r="J96" s="689"/>
    </row>
    <row r="97" spans="3:10" hidden="1" x14ac:dyDescent="0.2">
      <c r="C97" s="427"/>
      <c r="D97" s="691"/>
      <c r="E97" s="427"/>
      <c r="F97" s="547"/>
      <c r="G97" s="441"/>
      <c r="H97" s="547">
        <v>45223731359.110001</v>
      </c>
      <c r="I97" s="460"/>
      <c r="J97" s="689"/>
    </row>
    <row r="98" spans="3:10" ht="15" hidden="1" x14ac:dyDescent="0.25">
      <c r="C98" s="549"/>
      <c r="D98" s="693"/>
      <c r="E98" s="550"/>
      <c r="F98" s="551"/>
      <c r="G98" s="441"/>
      <c r="H98" s="547">
        <v>-53360</v>
      </c>
      <c r="I98" s="460"/>
      <c r="J98" s="689"/>
    </row>
    <row r="99" spans="3:10" ht="15" hidden="1" x14ac:dyDescent="0.25">
      <c r="C99" s="549"/>
      <c r="D99" s="693"/>
      <c r="E99" s="550"/>
      <c r="F99" s="551"/>
      <c r="G99" s="441"/>
      <c r="H99" s="460">
        <v>-1166512822.53</v>
      </c>
      <c r="I99" s="460"/>
      <c r="J99" s="689"/>
    </row>
    <row r="100" spans="3:10" ht="15" hidden="1" x14ac:dyDescent="0.25">
      <c r="C100" s="549"/>
      <c r="D100" s="693"/>
      <c r="E100" s="550"/>
      <c r="F100" s="551"/>
      <c r="G100" s="441"/>
      <c r="H100" s="460">
        <v>622242077</v>
      </c>
      <c r="I100" s="460"/>
      <c r="J100" s="689"/>
    </row>
    <row r="101" spans="3:10" ht="15" hidden="1" x14ac:dyDescent="0.25">
      <c r="C101" s="549"/>
      <c r="D101" s="693"/>
      <c r="E101" s="550"/>
      <c r="F101" s="551"/>
      <c r="G101" s="441"/>
      <c r="H101" s="460"/>
      <c r="I101" s="460"/>
      <c r="J101" s="689"/>
    </row>
    <row r="102" spans="3:10" ht="15" hidden="1" x14ac:dyDescent="0.25">
      <c r="C102" s="549"/>
      <c r="D102" s="693"/>
      <c r="E102" s="550"/>
      <c r="F102" s="551"/>
      <c r="G102" s="441"/>
      <c r="H102" s="465">
        <f>SUM(H97:H101)</f>
        <v>44679407253.580002</v>
      </c>
      <c r="I102" s="460"/>
      <c r="J102" s="689"/>
    </row>
    <row r="103" spans="3:10" ht="15" hidden="1" x14ac:dyDescent="0.25">
      <c r="C103" s="549"/>
      <c r="D103" s="693"/>
      <c r="E103" s="550"/>
      <c r="F103" s="551"/>
      <c r="G103" s="441"/>
      <c r="H103" s="460"/>
      <c r="I103" s="460"/>
      <c r="J103" s="689"/>
    </row>
    <row r="104" spans="3:10" ht="15" hidden="1" x14ac:dyDescent="0.25">
      <c r="C104" s="549"/>
      <c r="D104" s="693">
        <f>+'Edo Analitico Ingresos'!E32</f>
        <v>43763068350</v>
      </c>
      <c r="E104" s="550">
        <f>+'Edo Analitico Ingresos'!F32</f>
        <v>2588841322.5928955</v>
      </c>
      <c r="F104" s="550">
        <f>+'Edo Analitico Ingresos'!G32</f>
        <v>46351909672.592903</v>
      </c>
      <c r="G104" s="550">
        <f>+'Edo Analitico Ingresos'!H32</f>
        <v>46351909672.590004</v>
      </c>
      <c r="H104" s="550">
        <f>+'Edo Analitico Ingresos'!I32</f>
        <v>46351909672.590004</v>
      </c>
      <c r="I104" s="550">
        <f>+'Edo Analitico Ingresos'!J32</f>
        <v>2588841322.5900064</v>
      </c>
      <c r="J104" s="689"/>
    </row>
    <row r="105" spans="3:10" ht="15" hidden="1" x14ac:dyDescent="0.25">
      <c r="C105" s="549"/>
      <c r="D105" s="693"/>
      <c r="E105" s="550"/>
      <c r="F105" s="551"/>
      <c r="G105" s="633"/>
      <c r="H105" s="460"/>
      <c r="I105" s="460"/>
      <c r="J105" s="689"/>
    </row>
    <row r="106" spans="3:10" ht="15" hidden="1" x14ac:dyDescent="0.25">
      <c r="C106" s="549"/>
      <c r="D106" s="693">
        <f>+D88-D104</f>
        <v>0</v>
      </c>
      <c r="E106" s="550">
        <f t="shared" ref="E106:I106" si="38">+E88-E104</f>
        <v>143068253.65710545</v>
      </c>
      <c r="F106" s="550">
        <f t="shared" si="38"/>
        <v>143068253.65709686</v>
      </c>
      <c r="G106" s="550">
        <f t="shared" si="38"/>
        <v>143068253.63999939</v>
      </c>
      <c r="H106" s="550">
        <f t="shared" si="38"/>
        <v>-1537408348.9899979</v>
      </c>
      <c r="I106" s="550">
        <f t="shared" si="38"/>
        <v>-2588841322.5700059</v>
      </c>
      <c r="J106" s="689"/>
    </row>
    <row r="107" spans="3:10" ht="15" hidden="1" thickBot="1" x14ac:dyDescent="0.25">
      <c r="C107" s="552"/>
      <c r="D107" s="694"/>
      <c r="E107" s="695"/>
      <c r="F107" s="696"/>
      <c r="G107" s="697"/>
      <c r="H107" s="698"/>
      <c r="I107" s="698"/>
      <c r="J107" s="699"/>
    </row>
    <row r="108" spans="3:10" x14ac:dyDescent="0.2">
      <c r="C108" s="552"/>
      <c r="D108" s="553"/>
      <c r="E108" s="553"/>
      <c r="F108" s="441"/>
      <c r="G108" s="441"/>
    </row>
    <row r="109" spans="3:10" x14ac:dyDescent="0.2">
      <c r="C109" s="552"/>
      <c r="D109" s="553"/>
      <c r="E109" s="553"/>
      <c r="F109" s="441"/>
      <c r="G109" s="427"/>
    </row>
    <row r="110" spans="3:10" ht="15" x14ac:dyDescent="0.2">
      <c r="C110" s="552"/>
      <c r="D110" s="554"/>
      <c r="E110" s="554"/>
      <c r="F110" s="554"/>
      <c r="G110" s="427"/>
    </row>
    <row r="111" spans="3:10" x14ac:dyDescent="0.2">
      <c r="C111" s="427"/>
      <c r="D111" s="427"/>
      <c r="E111" s="427"/>
      <c r="F111" s="441"/>
      <c r="G111" s="427"/>
    </row>
    <row r="112" spans="3:10" x14ac:dyDescent="0.2">
      <c r="C112" s="427"/>
      <c r="D112" s="427"/>
      <c r="E112" s="427"/>
      <c r="F112" s="427"/>
      <c r="G112" s="427"/>
    </row>
    <row r="113" spans="3:7" x14ac:dyDescent="0.2">
      <c r="C113" s="427"/>
      <c r="D113" s="427"/>
      <c r="E113" s="427"/>
      <c r="F113" s="427"/>
      <c r="G113" s="427"/>
    </row>
    <row r="114" spans="3:7" x14ac:dyDescent="0.2">
      <c r="C114" s="427"/>
      <c r="D114" s="427"/>
      <c r="E114" s="427"/>
      <c r="F114" s="427"/>
      <c r="G114" s="427"/>
    </row>
  </sheetData>
  <mergeCells count="18">
    <mergeCell ref="B7:I7"/>
    <mergeCell ref="B8:I8"/>
    <mergeCell ref="B9:I9"/>
    <mergeCell ref="B10:I10"/>
    <mergeCell ref="B11:I11"/>
    <mergeCell ref="L11:Q13"/>
    <mergeCell ref="B64:C64"/>
    <mergeCell ref="B68:C68"/>
    <mergeCell ref="B76:C76"/>
    <mergeCell ref="B80:C80"/>
    <mergeCell ref="I13:I14"/>
    <mergeCell ref="B16:C16"/>
    <mergeCell ref="B24:C24"/>
    <mergeCell ref="B34:C34"/>
    <mergeCell ref="B44:C44"/>
    <mergeCell ref="B54:C54"/>
    <mergeCell ref="B13:C15"/>
    <mergeCell ref="D13:H13"/>
  </mergeCells>
  <pageMargins left="0.62992125984251968" right="0.70866141732283472" top="0.7" bottom="0.45" header="0.31496062992125984" footer="0.31496062992125984"/>
  <pageSetup scale="68" fitToHeight="0" orientation="landscape" r:id="rId1"/>
  <ignoredErrors>
    <ignoredError sqref="F16 F34 F44 F54 F64 F68 F76 F80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J41"/>
  <sheetViews>
    <sheetView topLeftCell="A7" workbookViewId="0">
      <selection activeCell="F30" sqref="F30"/>
    </sheetView>
  </sheetViews>
  <sheetFormatPr baseColWidth="10" defaultRowHeight="14.25" x14ac:dyDescent="0.2"/>
  <cols>
    <col min="1" max="1" width="2.5703125" style="17" customWidth="1"/>
    <col min="2" max="2" width="2" style="266" customWidth="1"/>
    <col min="3" max="3" width="45.85546875" style="266" customWidth="1"/>
    <col min="4" max="4" width="19.42578125" style="266" bestFit="1" customWidth="1"/>
    <col min="5" max="5" width="20.85546875" style="266" bestFit="1" customWidth="1"/>
    <col min="6" max="6" width="19.42578125" style="266" bestFit="1" customWidth="1"/>
    <col min="7" max="7" width="20" style="266" bestFit="1" customWidth="1"/>
    <col min="8" max="8" width="23.28515625" style="266" bestFit="1" customWidth="1"/>
    <col min="9" max="9" width="19.42578125" style="266" bestFit="1" customWidth="1"/>
    <col min="10" max="10" width="4" style="17" customWidth="1"/>
    <col min="11" max="16384" width="11.42578125" style="266"/>
  </cols>
  <sheetData>
    <row r="7" spans="2:9" s="17" customFormat="1" x14ac:dyDescent="0.2"/>
    <row r="8" spans="2:9" ht="15" x14ac:dyDescent="0.25">
      <c r="B8" s="835" t="str">
        <f>+COG!B7</f>
        <v>Cuenta Pública 2016</v>
      </c>
      <c r="C8" s="836"/>
      <c r="D8" s="836"/>
      <c r="E8" s="836"/>
      <c r="F8" s="836"/>
      <c r="G8" s="836"/>
      <c r="H8" s="836"/>
      <c r="I8" s="837"/>
    </row>
    <row r="9" spans="2:9" ht="15" x14ac:dyDescent="0.25">
      <c r="B9" s="838" t="s">
        <v>389</v>
      </c>
      <c r="C9" s="839"/>
      <c r="D9" s="839"/>
      <c r="E9" s="839"/>
      <c r="F9" s="839"/>
      <c r="G9" s="839"/>
      <c r="H9" s="839"/>
      <c r="I9" s="840"/>
    </row>
    <row r="10" spans="2:9" ht="15" x14ac:dyDescent="0.25">
      <c r="B10" s="838" t="s">
        <v>231</v>
      </c>
      <c r="C10" s="839"/>
      <c r="D10" s="839"/>
      <c r="E10" s="839"/>
      <c r="F10" s="839"/>
      <c r="G10" s="839"/>
      <c r="H10" s="839"/>
      <c r="I10" s="840"/>
    </row>
    <row r="11" spans="2:9" ht="15" x14ac:dyDescent="0.25">
      <c r="B11" s="838" t="s">
        <v>241</v>
      </c>
      <c r="C11" s="839"/>
      <c r="D11" s="839"/>
      <c r="E11" s="839"/>
      <c r="F11" s="839"/>
      <c r="G11" s="839"/>
      <c r="H11" s="839"/>
      <c r="I11" s="840"/>
    </row>
    <row r="12" spans="2:9" ht="15" x14ac:dyDescent="0.25">
      <c r="B12" s="841" t="str">
        <f>+COG!B11</f>
        <v>Del 1 de enero al 31 de diciembre de 2016</v>
      </c>
      <c r="C12" s="842"/>
      <c r="D12" s="842"/>
      <c r="E12" s="842"/>
      <c r="F12" s="842"/>
      <c r="G12" s="842"/>
      <c r="H12" s="842"/>
      <c r="I12" s="843"/>
    </row>
    <row r="13" spans="2:9" s="17" customFormat="1" x14ac:dyDescent="0.2"/>
    <row r="14" spans="2:9" ht="15" x14ac:dyDescent="0.2">
      <c r="B14" s="869" t="s">
        <v>76</v>
      </c>
      <c r="C14" s="870"/>
      <c r="D14" s="867" t="s">
        <v>242</v>
      </c>
      <c r="E14" s="867"/>
      <c r="F14" s="867"/>
      <c r="G14" s="867"/>
      <c r="H14" s="867"/>
      <c r="I14" s="867" t="s">
        <v>234</v>
      </c>
    </row>
    <row r="15" spans="2:9" ht="30" x14ac:dyDescent="0.2">
      <c r="B15" s="871"/>
      <c r="C15" s="872"/>
      <c r="D15" s="298" t="s">
        <v>235</v>
      </c>
      <c r="E15" s="298" t="s">
        <v>236</v>
      </c>
      <c r="F15" s="298" t="s">
        <v>210</v>
      </c>
      <c r="G15" s="298" t="s">
        <v>211</v>
      </c>
      <c r="H15" s="298" t="s">
        <v>237</v>
      </c>
      <c r="I15" s="867"/>
    </row>
    <row r="16" spans="2:9" ht="15" x14ac:dyDescent="0.2">
      <c r="B16" s="873"/>
      <c r="C16" s="874"/>
      <c r="D16" s="298">
        <v>1</v>
      </c>
      <c r="E16" s="298">
        <v>2</v>
      </c>
      <c r="F16" s="298" t="s">
        <v>238</v>
      </c>
      <c r="G16" s="298">
        <v>4</v>
      </c>
      <c r="H16" s="298">
        <v>5</v>
      </c>
      <c r="I16" s="298" t="s">
        <v>239</v>
      </c>
    </row>
    <row r="17" spans="1:10" x14ac:dyDescent="0.2">
      <c r="B17" s="311"/>
      <c r="C17" s="312"/>
      <c r="D17" s="313"/>
      <c r="E17" s="313"/>
      <c r="F17" s="313"/>
      <c r="G17" s="313"/>
      <c r="H17" s="313"/>
      <c r="I17" s="313"/>
    </row>
    <row r="18" spans="1:10" ht="15" x14ac:dyDescent="0.2">
      <c r="B18" s="299"/>
      <c r="C18" s="314" t="s">
        <v>243</v>
      </c>
      <c r="D18" s="377">
        <v>22082464394.169998</v>
      </c>
      <c r="E18" s="377">
        <f>+G18-D18</f>
        <v>50643811.159999847</v>
      </c>
      <c r="F18" s="377">
        <f>+D18+E18</f>
        <v>22133108205.329998</v>
      </c>
      <c r="G18" s="377">
        <f>+COG!G16+COG!G24+COG!G34+COG!G82+COG!G84+COG!G85-COG!G49</f>
        <v>22133108205.329998</v>
      </c>
      <c r="H18" s="377">
        <f>+COG!H16+COG!H24+COG!H34+COG!H82+COG!H84+COG!H85-COG!H49</f>
        <v>21604178282.779999</v>
      </c>
      <c r="I18" s="377">
        <f>+F18-G18</f>
        <v>0</v>
      </c>
    </row>
    <row r="19" spans="1:10" x14ac:dyDescent="0.2">
      <c r="B19" s="299"/>
      <c r="C19" s="300"/>
      <c r="D19" s="377"/>
      <c r="E19" s="377"/>
      <c r="F19" s="377"/>
      <c r="G19" s="377"/>
      <c r="H19" s="377"/>
      <c r="I19" s="391"/>
    </row>
    <row r="20" spans="1:10" ht="15" x14ac:dyDescent="0.2">
      <c r="B20" s="315"/>
      <c r="C20" s="314" t="s">
        <v>244</v>
      </c>
      <c r="D20" s="377">
        <v>15510890871.530001</v>
      </c>
      <c r="E20" s="377">
        <f>+G20-D20</f>
        <v>976439018.28999901</v>
      </c>
      <c r="F20" s="377">
        <f>+D20+E20</f>
        <v>16487329889.82</v>
      </c>
      <c r="G20" s="377">
        <f>+COG!G44+COG!G54+COG!G64+COG!G68</f>
        <v>16487329889.82</v>
      </c>
      <c r="H20" s="377">
        <f>+COG!H44+COG!H54+COG!H64+COG!H68</f>
        <v>15576473647.85</v>
      </c>
      <c r="I20" s="377">
        <f>+F20-G20</f>
        <v>0</v>
      </c>
    </row>
    <row r="21" spans="1:10" x14ac:dyDescent="0.2">
      <c r="B21" s="299"/>
      <c r="C21" s="300"/>
      <c r="D21" s="377"/>
      <c r="E21" s="377"/>
      <c r="F21" s="377"/>
      <c r="G21" s="377"/>
      <c r="H21" s="377"/>
      <c r="I21" s="377"/>
    </row>
    <row r="22" spans="1:10" ht="30" x14ac:dyDescent="0.2">
      <c r="B22" s="315"/>
      <c r="C22" s="314" t="s">
        <v>245</v>
      </c>
      <c r="D22" s="377">
        <v>789785411.60000002</v>
      </c>
      <c r="E22" s="377">
        <f>+COG!E81+COG!E87</f>
        <v>852242077</v>
      </c>
      <c r="F22" s="377">
        <f>+D22+E22</f>
        <v>1642027488.5999999</v>
      </c>
      <c r="G22" s="377">
        <f>+COG!G81+COG!G87</f>
        <v>1642027488.5799999</v>
      </c>
      <c r="H22" s="377">
        <f>+COG!H81+COG!H87</f>
        <v>1642027488.5799999</v>
      </c>
      <c r="I22" s="377">
        <f>+F22-G22</f>
        <v>1.9999980926513672E-2</v>
      </c>
    </row>
    <row r="23" spans="1:10" ht="15" x14ac:dyDescent="0.2">
      <c r="B23" s="315"/>
      <c r="C23" s="314"/>
      <c r="D23" s="377"/>
      <c r="E23" s="377"/>
      <c r="F23" s="377"/>
      <c r="G23" s="377"/>
      <c r="H23" s="377"/>
      <c r="I23" s="377"/>
    </row>
    <row r="24" spans="1:10" ht="15" x14ac:dyDescent="0.2">
      <c r="B24" s="315"/>
      <c r="C24" s="314" t="s">
        <v>100</v>
      </c>
      <c r="D24" s="377">
        <v>0</v>
      </c>
      <c r="E24" s="377">
        <f>+COG!E49</f>
        <v>34333450.310000002</v>
      </c>
      <c r="F24" s="377">
        <f>+D24+E24</f>
        <v>34333450.310000002</v>
      </c>
      <c r="G24" s="377">
        <f>+COG!G49</f>
        <v>34333450.310000002</v>
      </c>
      <c r="H24" s="377">
        <f>+COG!H49</f>
        <v>34107542.299999997</v>
      </c>
      <c r="I24" s="377">
        <f>+F24-G24</f>
        <v>0</v>
      </c>
    </row>
    <row r="25" spans="1:10" ht="15" x14ac:dyDescent="0.2">
      <c r="B25" s="315"/>
      <c r="C25" s="314"/>
      <c r="D25" s="377"/>
      <c r="E25" s="377"/>
      <c r="F25" s="377"/>
      <c r="G25" s="377"/>
      <c r="H25" s="377"/>
      <c r="I25" s="377"/>
    </row>
    <row r="26" spans="1:10" ht="15" x14ac:dyDescent="0.2">
      <c r="B26" s="315"/>
      <c r="C26" s="314" t="s">
        <v>110</v>
      </c>
      <c r="D26" s="377">
        <v>5379927672.6999998</v>
      </c>
      <c r="E26" s="377">
        <f>+COG!E76</f>
        <v>818251219.49000025</v>
      </c>
      <c r="F26" s="377">
        <f>+D26+E26</f>
        <v>6198178892.1900005</v>
      </c>
      <c r="G26" s="377">
        <f>+COG!G76</f>
        <v>6198178892.1900005</v>
      </c>
      <c r="H26" s="377">
        <f>+COG!H76</f>
        <v>5957714362.0900002</v>
      </c>
      <c r="I26" s="377">
        <f>+F26-G26</f>
        <v>0</v>
      </c>
    </row>
    <row r="27" spans="1:10" ht="15" x14ac:dyDescent="0.2">
      <c r="B27" s="316"/>
      <c r="C27" s="317"/>
      <c r="D27" s="389"/>
      <c r="E27" s="389"/>
      <c r="F27" s="389"/>
      <c r="G27" s="389"/>
      <c r="H27" s="389"/>
      <c r="I27" s="392"/>
    </row>
    <row r="28" spans="1:10" s="294" customFormat="1" ht="15" x14ac:dyDescent="0.25">
      <c r="A28" s="293"/>
      <c r="B28" s="316"/>
      <c r="C28" s="317" t="s">
        <v>240</v>
      </c>
      <c r="D28" s="390">
        <f>SUM(D18:D26)</f>
        <v>43763068349.999992</v>
      </c>
      <c r="E28" s="390">
        <f t="shared" ref="E28:I28" si="0">SUM(E18:E26)</f>
        <v>2731909576.249999</v>
      </c>
      <c r="F28" s="390">
        <f t="shared" si="0"/>
        <v>46494977926.249992</v>
      </c>
      <c r="G28" s="390">
        <f>SUM(G18:G26)</f>
        <v>46494977926.229996</v>
      </c>
      <c r="H28" s="390">
        <f t="shared" si="0"/>
        <v>44814501323.600006</v>
      </c>
      <c r="I28" s="390">
        <f t="shared" si="0"/>
        <v>1.9999980926513672E-2</v>
      </c>
      <c r="J28" s="293"/>
    </row>
    <row r="29" spans="1:10" s="17" customFormat="1" x14ac:dyDescent="0.2"/>
    <row r="31" spans="1:10" x14ac:dyDescent="0.2">
      <c r="D31" s="16" t="str">
        <f>IF(D28='E A Eje Presup Egresos CA'!D67," ","ERROR")</f>
        <v xml:space="preserve"> </v>
      </c>
      <c r="E31" s="16" t="str">
        <f>IF(E28='E A Eje Presup Egresos CA'!E67," ","ERROR")</f>
        <v xml:space="preserve"> </v>
      </c>
      <c r="F31" s="16" t="str">
        <f>IF(F28='E A Eje Presup Egresos CA'!F67," ","ERROR")</f>
        <v xml:space="preserve"> </v>
      </c>
      <c r="G31" s="16" t="str">
        <f>IF(G28='E A Eje Presup Egresos CA'!G67," ","ERROR")</f>
        <v xml:space="preserve"> </v>
      </c>
      <c r="H31" s="16" t="str">
        <f>IF(H28='E A Eje Presup Egresos CA'!H67," ","ERROR")</f>
        <v xml:space="preserve"> </v>
      </c>
      <c r="I31" s="456" t="str">
        <f>IF(I28='E A Eje Presup Egresos CA'!I67," ","ERROR")</f>
        <v>ERROR</v>
      </c>
    </row>
    <row r="32" spans="1:10" x14ac:dyDescent="0.2">
      <c r="D32" s="460"/>
      <c r="E32" s="464"/>
      <c r="F32" s="464"/>
      <c r="G32" s="464"/>
      <c r="H32" s="464"/>
      <c r="I32" s="464"/>
    </row>
    <row r="33" spans="4:9" ht="15" x14ac:dyDescent="0.2">
      <c r="D33" s="634"/>
      <c r="E33" s="634"/>
      <c r="F33" s="634"/>
      <c r="G33" s="634"/>
      <c r="H33" s="634"/>
      <c r="I33" s="634"/>
    </row>
    <row r="34" spans="4:9" x14ac:dyDescent="0.2">
      <c r="D34" s="460"/>
      <c r="E34" s="460"/>
      <c r="F34" s="460"/>
      <c r="G34" s="460"/>
      <c r="H34" s="460"/>
      <c r="I34" s="460"/>
    </row>
    <row r="35" spans="4:9" x14ac:dyDescent="0.2">
      <c r="D35" s="464"/>
      <c r="E35" s="464"/>
      <c r="F35" s="464"/>
      <c r="G35" s="464"/>
      <c r="H35" s="464"/>
      <c r="I35" s="464"/>
    </row>
    <row r="36" spans="4:9" x14ac:dyDescent="0.2">
      <c r="D36" s="460"/>
      <c r="E36" s="635"/>
      <c r="F36" s="460"/>
      <c r="G36" s="460"/>
      <c r="H36" s="460"/>
      <c r="I36" s="460"/>
    </row>
    <row r="37" spans="4:9" x14ac:dyDescent="0.2">
      <c r="D37" s="460"/>
      <c r="E37" s="636"/>
      <c r="F37" s="460"/>
      <c r="G37" s="460"/>
      <c r="H37" s="637"/>
      <c r="I37" s="460"/>
    </row>
    <row r="38" spans="4:9" ht="15" x14ac:dyDescent="0.2">
      <c r="D38" s="634"/>
      <c r="E38" s="634"/>
      <c r="F38" s="634"/>
      <c r="G38" s="460"/>
      <c r="H38" s="460"/>
      <c r="I38" s="460"/>
    </row>
    <row r="39" spans="4:9" ht="15" x14ac:dyDescent="0.2">
      <c r="D39" s="634"/>
      <c r="E39" s="634"/>
      <c r="F39" s="634"/>
      <c r="G39" s="460"/>
      <c r="H39" s="460"/>
      <c r="I39" s="460"/>
    </row>
    <row r="40" spans="4:9" ht="15" x14ac:dyDescent="0.2">
      <c r="D40" s="634"/>
      <c r="E40" s="634"/>
      <c r="F40" s="634"/>
      <c r="G40" s="460"/>
      <c r="H40" s="460"/>
      <c r="I40" s="460"/>
    </row>
    <row r="41" spans="4:9" x14ac:dyDescent="0.2">
      <c r="D41" s="460"/>
      <c r="E41" s="460"/>
      <c r="F41" s="460"/>
      <c r="G41" s="460"/>
      <c r="H41" s="460"/>
      <c r="I41" s="460"/>
    </row>
  </sheetData>
  <mergeCells count="8">
    <mergeCell ref="B14:C16"/>
    <mergeCell ref="D14:H14"/>
    <mergeCell ref="I14:I15"/>
    <mergeCell ref="B8:I8"/>
    <mergeCell ref="B9:I9"/>
    <mergeCell ref="B10:I10"/>
    <mergeCell ref="B11:I11"/>
    <mergeCell ref="B12:I12"/>
  </mergeCells>
  <pageMargins left="0.7" right="0.7" top="0.64" bottom="0.75" header="0.3" footer="0.3"/>
  <pageSetup scale="6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O87"/>
  <sheetViews>
    <sheetView topLeftCell="A4" workbookViewId="0">
      <selection activeCell="G50" sqref="G50"/>
    </sheetView>
  </sheetViews>
  <sheetFormatPr baseColWidth="10" defaultRowHeight="14.25" x14ac:dyDescent="0.2"/>
  <cols>
    <col min="1" max="1" width="1.85546875" style="17" customWidth="1"/>
    <col min="2" max="2" width="4.5703125" style="321" customWidth="1"/>
    <col min="3" max="3" width="65.7109375" style="266" customWidth="1"/>
    <col min="4" max="4" width="22.7109375" style="266" customWidth="1"/>
    <col min="5" max="5" width="20.42578125" style="266" customWidth="1"/>
    <col min="6" max="6" width="22.7109375" style="266" customWidth="1"/>
    <col min="7" max="8" width="21.7109375" style="266" customWidth="1"/>
    <col min="9" max="9" width="23.28515625" style="266" customWidth="1"/>
    <col min="10" max="10" width="3.28515625" style="17" customWidth="1"/>
    <col min="11" max="11" width="11.42578125" style="266"/>
    <col min="12" max="12" width="13.42578125" style="266" hidden="1" customWidth="1"/>
    <col min="13" max="13" width="15.5703125" style="266" hidden="1" customWidth="1"/>
    <col min="14" max="14" width="18.5703125" style="266" hidden="1" customWidth="1"/>
    <col min="15" max="16384" width="11.42578125" style="266"/>
  </cols>
  <sheetData>
    <row r="7" spans="2:14" s="17" customFormat="1" ht="8.25" customHeight="1" x14ac:dyDescent="0.2"/>
    <row r="8" spans="2:14" ht="15" x14ac:dyDescent="0.25">
      <c r="B8" s="835" t="str">
        <f>+CTG!B8</f>
        <v>Cuenta Pública 2016</v>
      </c>
      <c r="C8" s="836"/>
      <c r="D8" s="836"/>
      <c r="E8" s="836"/>
      <c r="F8" s="836"/>
      <c r="G8" s="836"/>
      <c r="H8" s="836"/>
      <c r="I8" s="837"/>
    </row>
    <row r="9" spans="2:14" ht="15" x14ac:dyDescent="0.25">
      <c r="B9" s="838" t="s">
        <v>389</v>
      </c>
      <c r="C9" s="839"/>
      <c r="D9" s="839"/>
      <c r="E9" s="839"/>
      <c r="F9" s="839"/>
      <c r="G9" s="839"/>
      <c r="H9" s="839"/>
      <c r="I9" s="840"/>
    </row>
    <row r="10" spans="2:14" ht="15" x14ac:dyDescent="0.25">
      <c r="B10" s="838" t="s">
        <v>231</v>
      </c>
      <c r="C10" s="839"/>
      <c r="D10" s="839"/>
      <c r="E10" s="839"/>
      <c r="F10" s="839"/>
      <c r="G10" s="839"/>
      <c r="H10" s="839"/>
      <c r="I10" s="840"/>
    </row>
    <row r="11" spans="2:14" ht="15" x14ac:dyDescent="0.25">
      <c r="B11" s="838" t="s">
        <v>295</v>
      </c>
      <c r="C11" s="839"/>
      <c r="D11" s="839"/>
      <c r="E11" s="839"/>
      <c r="F11" s="839"/>
      <c r="G11" s="839"/>
      <c r="H11" s="839"/>
      <c r="I11" s="840"/>
    </row>
    <row r="12" spans="2:14" ht="15" x14ac:dyDescent="0.25">
      <c r="B12" s="841" t="str">
        <f>+CTG!B12</f>
        <v>Del 1 de enero al 31 de diciembre de 2016</v>
      </c>
      <c r="C12" s="842"/>
      <c r="D12" s="842"/>
      <c r="E12" s="842"/>
      <c r="F12" s="842"/>
      <c r="G12" s="842"/>
      <c r="H12" s="842"/>
      <c r="I12" s="843"/>
    </row>
    <row r="13" spans="2:14" s="17" customFormat="1" ht="9" customHeight="1" x14ac:dyDescent="0.2"/>
    <row r="14" spans="2:14" ht="15" x14ac:dyDescent="0.2">
      <c r="B14" s="866" t="s">
        <v>76</v>
      </c>
      <c r="C14" s="866"/>
      <c r="D14" s="867" t="s">
        <v>233</v>
      </c>
      <c r="E14" s="867"/>
      <c r="F14" s="867"/>
      <c r="G14" s="867"/>
      <c r="H14" s="867"/>
      <c r="I14" s="867" t="s">
        <v>234</v>
      </c>
    </row>
    <row r="15" spans="2:14" ht="30" x14ac:dyDescent="0.2">
      <c r="B15" s="866"/>
      <c r="C15" s="866"/>
      <c r="D15" s="298" t="s">
        <v>235</v>
      </c>
      <c r="E15" s="298" t="s">
        <v>236</v>
      </c>
      <c r="F15" s="298" t="s">
        <v>210</v>
      </c>
      <c r="G15" s="298" t="s">
        <v>211</v>
      </c>
      <c r="H15" s="298" t="s">
        <v>237</v>
      </c>
      <c r="I15" s="867"/>
      <c r="M15" s="700" t="s">
        <v>834</v>
      </c>
      <c r="N15" s="700"/>
    </row>
    <row r="16" spans="2:14" ht="15" x14ac:dyDescent="0.2">
      <c r="B16" s="866"/>
      <c r="C16" s="866"/>
      <c r="D16" s="298">
        <v>1</v>
      </c>
      <c r="E16" s="298">
        <v>2</v>
      </c>
      <c r="F16" s="298" t="s">
        <v>238</v>
      </c>
      <c r="G16" s="298">
        <v>4</v>
      </c>
      <c r="H16" s="298">
        <v>5</v>
      </c>
      <c r="I16" s="298" t="s">
        <v>239</v>
      </c>
    </row>
    <row r="17" spans="1:14" ht="3" customHeight="1" x14ac:dyDescent="0.2">
      <c r="B17" s="322"/>
      <c r="C17" s="312"/>
      <c r="D17" s="313"/>
      <c r="E17" s="313"/>
      <c r="F17" s="313"/>
      <c r="G17" s="313"/>
      <c r="H17" s="313"/>
      <c r="I17" s="313"/>
    </row>
    <row r="18" spans="1:14" s="318" customFormat="1" ht="15" x14ac:dyDescent="0.25">
      <c r="A18" s="82"/>
      <c r="B18" s="875" t="s">
        <v>296</v>
      </c>
      <c r="C18" s="876"/>
      <c r="D18" s="393">
        <f>SUM(D19:D26)</f>
        <v>6577784321.8699999</v>
      </c>
      <c r="E18" s="393">
        <f t="shared" ref="E18:I18" si="0">SUM(E19:E26)</f>
        <v>3025691889.2400002</v>
      </c>
      <c r="F18" s="393">
        <f t="shared" si="0"/>
        <v>9603476211.1100006</v>
      </c>
      <c r="G18" s="393">
        <f t="shared" si="0"/>
        <v>9603476211.1100006</v>
      </c>
      <c r="H18" s="393">
        <f t="shared" si="0"/>
        <v>9150001551.9300003</v>
      </c>
      <c r="I18" s="393">
        <f t="shared" si="0"/>
        <v>0</v>
      </c>
      <c r="J18" s="82"/>
      <c r="L18" s="704" t="s">
        <v>237</v>
      </c>
    </row>
    <row r="19" spans="1:14" s="318" customFormat="1" ht="15" x14ac:dyDescent="0.25">
      <c r="A19" s="82"/>
      <c r="B19" s="323"/>
      <c r="C19" s="324" t="s">
        <v>297</v>
      </c>
      <c r="D19" s="381">
        <v>332438357</v>
      </c>
      <c r="E19" s="381">
        <f>+N19</f>
        <v>36272562.050000012</v>
      </c>
      <c r="F19" s="393">
        <f>+D19+E19</f>
        <v>368710919.05000001</v>
      </c>
      <c r="G19" s="381">
        <v>368710919.05000001</v>
      </c>
      <c r="H19" s="381">
        <v>368456488.07999998</v>
      </c>
      <c r="I19" s="381">
        <f>+F19-G19</f>
        <v>0</v>
      </c>
      <c r="J19" s="82"/>
      <c r="L19" s="439">
        <f>+G19-H19</f>
        <v>254430.97000002861</v>
      </c>
      <c r="M19" s="446">
        <f>+G19-F19</f>
        <v>0</v>
      </c>
      <c r="N19" s="706">
        <v>36272562.050000012</v>
      </c>
    </row>
    <row r="20" spans="1:14" s="318" customFormat="1" ht="15" x14ac:dyDescent="0.25">
      <c r="A20" s="82"/>
      <c r="B20" s="323"/>
      <c r="C20" s="324" t="s">
        <v>298</v>
      </c>
      <c r="D20" s="381">
        <v>1304210540.3900001</v>
      </c>
      <c r="E20" s="381">
        <f t="shared" ref="E20:E26" si="1">+N20</f>
        <v>59899216.649999857</v>
      </c>
      <c r="F20" s="393">
        <f t="shared" ref="F20:F26" si="2">+D20+E20</f>
        <v>1364109757.04</v>
      </c>
      <c r="G20" s="381">
        <v>1364109757.04</v>
      </c>
      <c r="H20" s="381">
        <v>1336039794.4200001</v>
      </c>
      <c r="I20" s="381">
        <f t="shared" ref="I20:I26" si="3">+F20-G20</f>
        <v>0</v>
      </c>
      <c r="J20" s="82"/>
      <c r="L20" s="439">
        <f t="shared" ref="L20:L52" si="4">+G20-H20</f>
        <v>28069962.619999886</v>
      </c>
      <c r="M20" s="446">
        <f t="shared" ref="M20:M52" si="5">+G20-F20</f>
        <v>0</v>
      </c>
      <c r="N20" s="706">
        <v>59899216.649999857</v>
      </c>
    </row>
    <row r="21" spans="1:14" s="318" customFormat="1" ht="15" x14ac:dyDescent="0.25">
      <c r="A21" s="82"/>
      <c r="B21" s="323"/>
      <c r="C21" s="324" t="s">
        <v>299</v>
      </c>
      <c r="D21" s="381">
        <v>712536823.75999999</v>
      </c>
      <c r="E21" s="381">
        <f t="shared" si="1"/>
        <v>320972361.22000003</v>
      </c>
      <c r="F21" s="393">
        <f t="shared" si="2"/>
        <v>1033509184.98</v>
      </c>
      <c r="G21" s="381">
        <v>1033509184.98</v>
      </c>
      <c r="H21" s="381">
        <v>933149366.01999998</v>
      </c>
      <c r="I21" s="381">
        <f t="shared" si="3"/>
        <v>0</v>
      </c>
      <c r="J21" s="82"/>
      <c r="L21" s="439">
        <f t="shared" si="4"/>
        <v>100359818.96000004</v>
      </c>
      <c r="M21" s="446">
        <f t="shared" si="5"/>
        <v>0</v>
      </c>
      <c r="N21" s="706">
        <v>320972361.22000003</v>
      </c>
    </row>
    <row r="22" spans="1:14" s="318" customFormat="1" ht="15" x14ac:dyDescent="0.25">
      <c r="A22" s="82"/>
      <c r="B22" s="323"/>
      <c r="C22" s="324" t="s">
        <v>300</v>
      </c>
      <c r="D22" s="386">
        <v>0</v>
      </c>
      <c r="E22" s="381">
        <f t="shared" si="1"/>
        <v>0</v>
      </c>
      <c r="F22" s="393">
        <f t="shared" si="2"/>
        <v>0</v>
      </c>
      <c r="G22" s="386">
        <v>0</v>
      </c>
      <c r="H22" s="386">
        <v>0</v>
      </c>
      <c r="I22" s="386">
        <f t="shared" si="3"/>
        <v>0</v>
      </c>
      <c r="J22" s="82"/>
      <c r="L22" s="439">
        <f t="shared" si="4"/>
        <v>0</v>
      </c>
      <c r="M22" s="446">
        <f t="shared" si="5"/>
        <v>0</v>
      </c>
      <c r="N22" s="706">
        <v>0</v>
      </c>
    </row>
    <row r="23" spans="1:14" s="318" customFormat="1" ht="15" x14ac:dyDescent="0.25">
      <c r="A23" s="82"/>
      <c r="B23" s="323"/>
      <c r="C23" s="324" t="s">
        <v>301</v>
      </c>
      <c r="D23" s="381">
        <v>3107095111.6500001</v>
      </c>
      <c r="E23" s="381">
        <f t="shared" si="1"/>
        <v>2297216527.7400002</v>
      </c>
      <c r="F23" s="393">
        <f t="shared" si="2"/>
        <v>5404311639.3900003</v>
      </c>
      <c r="G23" s="381">
        <v>5404311639.3900003</v>
      </c>
      <c r="H23" s="381">
        <v>5159796362.6599998</v>
      </c>
      <c r="I23" s="381">
        <f t="shared" si="3"/>
        <v>0</v>
      </c>
      <c r="J23" s="82"/>
      <c r="L23" s="439">
        <f t="shared" si="4"/>
        <v>244515276.7300005</v>
      </c>
      <c r="M23" s="446">
        <f t="shared" si="5"/>
        <v>0</v>
      </c>
      <c r="N23" s="706">
        <v>2297216527.7400002</v>
      </c>
    </row>
    <row r="24" spans="1:14" s="318" customFormat="1" ht="15" x14ac:dyDescent="0.25">
      <c r="A24" s="82"/>
      <c r="B24" s="323"/>
      <c r="C24" s="324" t="s">
        <v>302</v>
      </c>
      <c r="D24" s="381">
        <v>0</v>
      </c>
      <c r="E24" s="381">
        <f t="shared" si="1"/>
        <v>0</v>
      </c>
      <c r="F24" s="393">
        <f t="shared" si="2"/>
        <v>0</v>
      </c>
      <c r="G24" s="386">
        <v>0</v>
      </c>
      <c r="H24" s="386">
        <v>0</v>
      </c>
      <c r="I24" s="381">
        <f t="shared" si="3"/>
        <v>0</v>
      </c>
      <c r="J24" s="82"/>
      <c r="L24" s="439">
        <f t="shared" si="4"/>
        <v>0</v>
      </c>
      <c r="M24" s="446">
        <f t="shared" si="5"/>
        <v>0</v>
      </c>
      <c r="N24" s="706">
        <v>0</v>
      </c>
    </row>
    <row r="25" spans="1:14" s="318" customFormat="1" ht="15" x14ac:dyDescent="0.25">
      <c r="A25" s="82"/>
      <c r="B25" s="323"/>
      <c r="C25" s="324" t="s">
        <v>303</v>
      </c>
      <c r="D25" s="386">
        <v>1049063989</v>
      </c>
      <c r="E25" s="381">
        <f t="shared" si="1"/>
        <v>304493915.1099999</v>
      </c>
      <c r="F25" s="393">
        <f t="shared" si="2"/>
        <v>1353557904.1099999</v>
      </c>
      <c r="G25" s="386">
        <v>1353557904.1099999</v>
      </c>
      <c r="H25" s="386">
        <v>1274657580.02</v>
      </c>
      <c r="I25" s="381">
        <f t="shared" si="3"/>
        <v>0</v>
      </c>
      <c r="J25" s="82"/>
      <c r="L25" s="439">
        <f t="shared" si="4"/>
        <v>78900324.089999914</v>
      </c>
      <c r="M25" s="446">
        <f t="shared" si="5"/>
        <v>0</v>
      </c>
      <c r="N25" s="706">
        <v>304493915.1099999</v>
      </c>
    </row>
    <row r="26" spans="1:14" s="318" customFormat="1" ht="15" x14ac:dyDescent="0.25">
      <c r="A26" s="82"/>
      <c r="B26" s="323"/>
      <c r="C26" s="324" t="s">
        <v>270</v>
      </c>
      <c r="D26" s="381">
        <v>72439500.069999993</v>
      </c>
      <c r="E26" s="381">
        <f t="shared" si="1"/>
        <v>6837306.4700000137</v>
      </c>
      <c r="F26" s="393">
        <f t="shared" si="2"/>
        <v>79276806.540000007</v>
      </c>
      <c r="G26" s="381">
        <v>79276806.540000007</v>
      </c>
      <c r="H26" s="381">
        <v>77901960.730000004</v>
      </c>
      <c r="I26" s="381">
        <f t="shared" si="3"/>
        <v>0</v>
      </c>
      <c r="J26" s="82"/>
      <c r="L26" s="439">
        <f t="shared" si="4"/>
        <v>1374845.8100000024</v>
      </c>
      <c r="M26" s="446">
        <f t="shared" si="5"/>
        <v>0</v>
      </c>
      <c r="N26" s="706">
        <v>6837306.4700000137</v>
      </c>
    </row>
    <row r="27" spans="1:14" s="318" customFormat="1" ht="4.5" customHeight="1" x14ac:dyDescent="0.25">
      <c r="A27" s="82"/>
      <c r="B27" s="323"/>
      <c r="C27" s="324"/>
      <c r="D27" s="381"/>
      <c r="E27" s="381"/>
      <c r="F27" s="393"/>
      <c r="G27" s="381"/>
      <c r="H27" s="381"/>
      <c r="I27" s="385"/>
      <c r="J27" s="82"/>
      <c r="L27" s="439">
        <f t="shared" si="4"/>
        <v>0</v>
      </c>
      <c r="M27" s="446">
        <f t="shared" si="5"/>
        <v>0</v>
      </c>
      <c r="N27" s="706">
        <v>0</v>
      </c>
    </row>
    <row r="28" spans="1:14" s="320" customFormat="1" ht="15" x14ac:dyDescent="0.25">
      <c r="A28" s="319"/>
      <c r="B28" s="875" t="s">
        <v>304</v>
      </c>
      <c r="C28" s="876"/>
      <c r="D28" s="393">
        <f>SUM(D29:D35)</f>
        <v>24131824218.709999</v>
      </c>
      <c r="E28" s="393">
        <f t="shared" ref="E28" si="6">SUM(E29:E35)</f>
        <v>-44710256.200000644</v>
      </c>
      <c r="F28" s="393">
        <f>+D28+E28</f>
        <v>24087113962.509998</v>
      </c>
      <c r="G28" s="393">
        <f t="shared" ref="G28" si="7">SUM(G29:G35)</f>
        <v>24087113962.509998</v>
      </c>
      <c r="H28" s="393">
        <f t="shared" ref="H28" si="8">SUM(H29:H35)</f>
        <v>23450101364.810001</v>
      </c>
      <c r="I28" s="393">
        <f>+F28-G28</f>
        <v>0</v>
      </c>
      <c r="J28" s="319"/>
      <c r="L28" s="439">
        <f t="shared" si="4"/>
        <v>637012597.69999695</v>
      </c>
      <c r="M28" s="446">
        <f t="shared" si="5"/>
        <v>0</v>
      </c>
      <c r="N28" s="707">
        <v>-44710256.200000763</v>
      </c>
    </row>
    <row r="29" spans="1:14" s="318" customFormat="1" ht="15" x14ac:dyDescent="0.25">
      <c r="A29" s="82"/>
      <c r="B29" s="323"/>
      <c r="C29" s="324" t="s">
        <v>305</v>
      </c>
      <c r="D29" s="394">
        <v>61859753.560000002</v>
      </c>
      <c r="E29" s="381">
        <f t="shared" ref="E29:E35" si="9">+N29</f>
        <v>86576727.719999999</v>
      </c>
      <c r="F29" s="393">
        <f t="shared" ref="F29:F35" si="10">+D29+E29</f>
        <v>148436481.28</v>
      </c>
      <c r="G29" s="386">
        <v>148436481.28</v>
      </c>
      <c r="H29" s="394">
        <v>144225729.49000001</v>
      </c>
      <c r="I29" s="394">
        <f t="shared" ref="I29:I35" si="11">+F29-G29</f>
        <v>0</v>
      </c>
      <c r="J29" s="82"/>
      <c r="L29" s="439">
        <f t="shared" si="4"/>
        <v>4210751.7899999917</v>
      </c>
      <c r="M29" s="446">
        <f t="shared" si="5"/>
        <v>0</v>
      </c>
      <c r="N29" s="706">
        <v>86576727.719999999</v>
      </c>
    </row>
    <row r="30" spans="1:14" s="318" customFormat="1" ht="15" x14ac:dyDescent="0.25">
      <c r="A30" s="82"/>
      <c r="B30" s="323"/>
      <c r="C30" s="324" t="s">
        <v>306</v>
      </c>
      <c r="D30" s="394">
        <v>421623820.42000002</v>
      </c>
      <c r="E30" s="381">
        <f t="shared" si="9"/>
        <v>-209126511.70000002</v>
      </c>
      <c r="F30" s="393">
        <f t="shared" si="10"/>
        <v>212497308.72</v>
      </c>
      <c r="G30" s="386">
        <v>212497308.72</v>
      </c>
      <c r="H30" s="394">
        <v>191013032.09</v>
      </c>
      <c r="I30" s="394">
        <f t="shared" si="11"/>
        <v>0</v>
      </c>
      <c r="J30" s="82"/>
      <c r="L30" s="439">
        <f t="shared" si="4"/>
        <v>21484276.629999995</v>
      </c>
      <c r="M30" s="446">
        <f t="shared" si="5"/>
        <v>0</v>
      </c>
      <c r="N30" s="706">
        <v>-209126511.70000002</v>
      </c>
    </row>
    <row r="31" spans="1:14" s="318" customFormat="1" ht="15" x14ac:dyDescent="0.25">
      <c r="A31" s="82"/>
      <c r="B31" s="323"/>
      <c r="C31" s="324" t="s">
        <v>307</v>
      </c>
      <c r="D31" s="394">
        <v>2290311909.4400001</v>
      </c>
      <c r="E31" s="381">
        <f t="shared" si="9"/>
        <v>327635257.21000004</v>
      </c>
      <c r="F31" s="393">
        <f t="shared" si="10"/>
        <v>2617947166.6500001</v>
      </c>
      <c r="G31" s="386">
        <v>2617947166.6500001</v>
      </c>
      <c r="H31" s="394">
        <v>2552062420.1500001</v>
      </c>
      <c r="I31" s="394">
        <f t="shared" si="11"/>
        <v>0</v>
      </c>
      <c r="J31" s="82"/>
      <c r="L31" s="439">
        <f t="shared" si="4"/>
        <v>65884746.5</v>
      </c>
      <c r="M31" s="446">
        <f t="shared" si="5"/>
        <v>0</v>
      </c>
      <c r="N31" s="706">
        <v>327635257.21000004</v>
      </c>
    </row>
    <row r="32" spans="1:14" s="318" customFormat="1" ht="15" x14ac:dyDescent="0.25">
      <c r="A32" s="82"/>
      <c r="B32" s="323"/>
      <c r="C32" s="324" t="s">
        <v>308</v>
      </c>
      <c r="D32" s="394">
        <v>396969088.72000003</v>
      </c>
      <c r="E32" s="381">
        <f t="shared" si="9"/>
        <v>116362749.79999995</v>
      </c>
      <c r="F32" s="393">
        <f t="shared" si="10"/>
        <v>513331838.51999998</v>
      </c>
      <c r="G32" s="386">
        <v>513331838.51999998</v>
      </c>
      <c r="H32" s="394">
        <v>478129598.51999998</v>
      </c>
      <c r="I32" s="394">
        <f t="shared" si="11"/>
        <v>0</v>
      </c>
      <c r="J32" s="82"/>
      <c r="L32" s="439">
        <f t="shared" si="4"/>
        <v>35202240</v>
      </c>
      <c r="M32" s="446">
        <f t="shared" si="5"/>
        <v>0</v>
      </c>
      <c r="N32" s="706">
        <v>116362749.79999995</v>
      </c>
    </row>
    <row r="33" spans="1:14" s="318" customFormat="1" ht="15" x14ac:dyDescent="0.25">
      <c r="A33" s="82"/>
      <c r="B33" s="323"/>
      <c r="C33" s="324" t="s">
        <v>309</v>
      </c>
      <c r="D33" s="394">
        <v>19387395956.369999</v>
      </c>
      <c r="E33" s="381">
        <f t="shared" si="9"/>
        <v>-927852640.86000061</v>
      </c>
      <c r="F33" s="393">
        <f t="shared" si="10"/>
        <v>18459543315.509998</v>
      </c>
      <c r="G33" s="386">
        <v>18459543315.509998</v>
      </c>
      <c r="H33" s="394">
        <v>18318786143.84</v>
      </c>
      <c r="I33" s="394">
        <f t="shared" si="11"/>
        <v>0</v>
      </c>
      <c r="J33" s="82"/>
      <c r="L33" s="439">
        <f t="shared" si="4"/>
        <v>140757171.66999817</v>
      </c>
      <c r="M33" s="446">
        <f t="shared" si="5"/>
        <v>0</v>
      </c>
      <c r="N33" s="706">
        <v>-927852640.86000061</v>
      </c>
    </row>
    <row r="34" spans="1:14" s="318" customFormat="1" ht="15" x14ac:dyDescent="0.25">
      <c r="A34" s="82"/>
      <c r="B34" s="323"/>
      <c r="C34" s="324" t="s">
        <v>310</v>
      </c>
      <c r="D34" s="394">
        <v>0</v>
      </c>
      <c r="E34" s="381">
        <f t="shared" si="9"/>
        <v>50499728.670000002</v>
      </c>
      <c r="F34" s="393">
        <f t="shared" si="10"/>
        <v>50499728.670000002</v>
      </c>
      <c r="G34" s="386">
        <v>50499728.670000002</v>
      </c>
      <c r="H34" s="394">
        <v>43259080.07</v>
      </c>
      <c r="I34" s="394">
        <f>+F34-G34</f>
        <v>0</v>
      </c>
      <c r="J34" s="82"/>
      <c r="L34" s="439">
        <f t="shared" si="4"/>
        <v>7240648.6000000015</v>
      </c>
      <c r="M34" s="446">
        <f t="shared" si="5"/>
        <v>0</v>
      </c>
      <c r="N34" s="706">
        <v>50499728.670000002</v>
      </c>
    </row>
    <row r="35" spans="1:14" s="318" customFormat="1" ht="15" x14ac:dyDescent="0.25">
      <c r="A35" s="82"/>
      <c r="B35" s="323"/>
      <c r="C35" s="324" t="s">
        <v>311</v>
      </c>
      <c r="D35" s="394">
        <v>1573663690.2</v>
      </c>
      <c r="E35" s="381">
        <f t="shared" si="9"/>
        <v>511194432.96000004</v>
      </c>
      <c r="F35" s="393">
        <f t="shared" si="10"/>
        <v>2084858123.1600001</v>
      </c>
      <c r="G35" s="386">
        <v>2084858123.1600001</v>
      </c>
      <c r="H35" s="394">
        <v>1722625360.6500001</v>
      </c>
      <c r="I35" s="394">
        <f t="shared" si="11"/>
        <v>0</v>
      </c>
      <c r="J35" s="82"/>
      <c r="L35" s="439">
        <f t="shared" si="4"/>
        <v>362232762.50999999</v>
      </c>
      <c r="M35" s="446">
        <f t="shared" si="5"/>
        <v>0</v>
      </c>
      <c r="N35" s="706">
        <v>511194432.96000004</v>
      </c>
    </row>
    <row r="36" spans="1:14" s="318" customFormat="1" ht="4.5" customHeight="1" x14ac:dyDescent="0.25">
      <c r="A36" s="82"/>
      <c r="B36" s="323"/>
      <c r="C36" s="324"/>
      <c r="D36" s="394"/>
      <c r="E36" s="394"/>
      <c r="F36" s="393"/>
      <c r="G36" s="394"/>
      <c r="H36" s="394"/>
      <c r="I36" s="398"/>
      <c r="J36" s="82"/>
      <c r="L36" s="439">
        <f t="shared" si="4"/>
        <v>0</v>
      </c>
      <c r="M36" s="446">
        <f t="shared" si="5"/>
        <v>0</v>
      </c>
      <c r="N36" s="706">
        <v>0</v>
      </c>
    </row>
    <row r="37" spans="1:14" s="320" customFormat="1" ht="15" x14ac:dyDescent="0.25">
      <c r="A37" s="319"/>
      <c r="B37" s="875" t="s">
        <v>312</v>
      </c>
      <c r="C37" s="876"/>
      <c r="D37" s="395">
        <f>SUM(D38:D46)</f>
        <v>4304743064.4400005</v>
      </c>
      <c r="E37" s="395">
        <f>SUM(E38:E46)</f>
        <v>-1812161038.8499997</v>
      </c>
      <c r="F37" s="393">
        <f>+D37+E37</f>
        <v>2492582025.5900011</v>
      </c>
      <c r="G37" s="395">
        <f>SUM(G38:G46)</f>
        <v>2492582025.5899997</v>
      </c>
      <c r="H37" s="395">
        <f>SUM(H38:H46)</f>
        <v>1902592679.8399999</v>
      </c>
      <c r="I37" s="395">
        <f>+F37-G37</f>
        <v>0</v>
      </c>
      <c r="J37" s="319"/>
      <c r="L37" s="439">
        <f t="shared" si="4"/>
        <v>589989345.74999976</v>
      </c>
      <c r="M37" s="446">
        <f t="shared" si="5"/>
        <v>0</v>
      </c>
      <c r="N37" s="707">
        <v>-1812161038.8500009</v>
      </c>
    </row>
    <row r="38" spans="1:14" s="318" customFormat="1" ht="15" x14ac:dyDescent="0.25">
      <c r="A38" s="82"/>
      <c r="B38" s="323"/>
      <c r="C38" s="324" t="s">
        <v>313</v>
      </c>
      <c r="D38" s="394">
        <v>271310177.62</v>
      </c>
      <c r="E38" s="381">
        <f t="shared" ref="E38:E47" si="12">+N38</f>
        <v>357998978.15999997</v>
      </c>
      <c r="F38" s="393">
        <f t="shared" ref="F38:F47" si="13">+D38+E38</f>
        <v>629309155.77999997</v>
      </c>
      <c r="G38" s="386">
        <v>629309155.77999997</v>
      </c>
      <c r="H38" s="394">
        <v>470635137.51999998</v>
      </c>
      <c r="I38" s="394">
        <f t="shared" ref="I38:I46" si="14">+F38-G38</f>
        <v>0</v>
      </c>
      <c r="J38" s="82"/>
      <c r="L38" s="439">
        <f t="shared" si="4"/>
        <v>158674018.25999999</v>
      </c>
      <c r="M38" s="446">
        <f t="shared" si="5"/>
        <v>0</v>
      </c>
      <c r="N38" s="706">
        <v>357998978.15999997</v>
      </c>
    </row>
    <row r="39" spans="1:14" s="318" customFormat="1" ht="15" x14ac:dyDescent="0.25">
      <c r="A39" s="82"/>
      <c r="B39" s="323"/>
      <c r="C39" s="324" t="s">
        <v>314</v>
      </c>
      <c r="D39" s="394">
        <v>337139727.99000001</v>
      </c>
      <c r="E39" s="381">
        <f t="shared" si="12"/>
        <v>-149693082.29000002</v>
      </c>
      <c r="F39" s="393">
        <f t="shared" si="13"/>
        <v>187446645.69999999</v>
      </c>
      <c r="G39" s="386">
        <v>187446645.69999999</v>
      </c>
      <c r="H39" s="394">
        <v>152267551.62</v>
      </c>
      <c r="I39" s="394">
        <f t="shared" si="14"/>
        <v>0</v>
      </c>
      <c r="J39" s="82"/>
      <c r="L39" s="439">
        <f t="shared" si="4"/>
        <v>35179094.079999983</v>
      </c>
      <c r="M39" s="446">
        <f t="shared" si="5"/>
        <v>0</v>
      </c>
      <c r="N39" s="706">
        <v>-149693082.29000002</v>
      </c>
    </row>
    <row r="40" spans="1:14" s="318" customFormat="1" ht="15" x14ac:dyDescent="0.25">
      <c r="A40" s="82"/>
      <c r="B40" s="323"/>
      <c r="C40" s="324" t="s">
        <v>315</v>
      </c>
      <c r="D40" s="386">
        <v>0</v>
      </c>
      <c r="E40" s="381">
        <f t="shared" si="12"/>
        <v>0</v>
      </c>
      <c r="F40" s="393">
        <f t="shared" si="13"/>
        <v>0</v>
      </c>
      <c r="G40" s="386">
        <v>0</v>
      </c>
      <c r="H40" s="386">
        <v>0</v>
      </c>
      <c r="I40" s="386">
        <f t="shared" si="14"/>
        <v>0</v>
      </c>
      <c r="J40" s="82"/>
      <c r="L40" s="439">
        <f t="shared" si="4"/>
        <v>0</v>
      </c>
      <c r="M40" s="446">
        <f t="shared" si="5"/>
        <v>0</v>
      </c>
      <c r="N40" s="706">
        <v>0</v>
      </c>
    </row>
    <row r="41" spans="1:14" s="318" customFormat="1" ht="15" x14ac:dyDescent="0.25">
      <c r="A41" s="82"/>
      <c r="B41" s="323"/>
      <c r="C41" s="324" t="s">
        <v>316</v>
      </c>
      <c r="D41" s="394">
        <v>3664856163.5999999</v>
      </c>
      <c r="E41" s="381">
        <f t="shared" si="12"/>
        <v>-2017064760.4299998</v>
      </c>
      <c r="F41" s="393">
        <f t="shared" si="13"/>
        <v>1647791403.1700001</v>
      </c>
      <c r="G41" s="386">
        <f>1769637587.3-121846184.13</f>
        <v>1647791403.1700001</v>
      </c>
      <c r="H41" s="394">
        <f>1564573214.28-312854423.91</f>
        <v>1251718790.3699999</v>
      </c>
      <c r="I41" s="394">
        <f t="shared" si="14"/>
        <v>0</v>
      </c>
      <c r="J41" s="82"/>
      <c r="L41" s="439">
        <f t="shared" si="4"/>
        <v>396072612.80000019</v>
      </c>
      <c r="M41" s="446">
        <f t="shared" si="5"/>
        <v>0</v>
      </c>
      <c r="N41" s="706">
        <v>-2017064760.4299998</v>
      </c>
    </row>
    <row r="42" spans="1:14" s="318" customFormat="1" ht="15" x14ac:dyDescent="0.25">
      <c r="A42" s="82"/>
      <c r="B42" s="323"/>
      <c r="C42" s="324" t="s">
        <v>317</v>
      </c>
      <c r="D42" s="400">
        <v>0</v>
      </c>
      <c r="E42" s="381">
        <f t="shared" si="12"/>
        <v>0</v>
      </c>
      <c r="F42" s="393">
        <f t="shared" si="13"/>
        <v>0</v>
      </c>
      <c r="G42" s="386">
        <v>0</v>
      </c>
      <c r="H42" s="400">
        <v>0</v>
      </c>
      <c r="I42" s="400">
        <f t="shared" si="14"/>
        <v>0</v>
      </c>
      <c r="J42" s="82"/>
      <c r="L42" s="439">
        <f t="shared" si="4"/>
        <v>0</v>
      </c>
      <c r="M42" s="446">
        <f t="shared" si="5"/>
        <v>0</v>
      </c>
      <c r="N42" s="706">
        <v>0</v>
      </c>
    </row>
    <row r="43" spans="1:14" s="318" customFormat="1" ht="15" x14ac:dyDescent="0.25">
      <c r="A43" s="82"/>
      <c r="B43" s="323"/>
      <c r="C43" s="324" t="s">
        <v>318</v>
      </c>
      <c r="D43" s="400">
        <v>17775526.149999999</v>
      </c>
      <c r="E43" s="381">
        <f t="shared" si="12"/>
        <v>-3810737.0699999984</v>
      </c>
      <c r="F43" s="393">
        <f t="shared" si="13"/>
        <v>13964789.08</v>
      </c>
      <c r="G43" s="386">
        <v>13964789.08</v>
      </c>
      <c r="H43" s="400">
        <v>13929980.050000001</v>
      </c>
      <c r="I43" s="400">
        <f t="shared" si="14"/>
        <v>0</v>
      </c>
      <c r="J43" s="82"/>
      <c r="L43" s="439">
        <f t="shared" si="4"/>
        <v>34809.029999999329</v>
      </c>
      <c r="M43" s="446">
        <f t="shared" si="5"/>
        <v>0</v>
      </c>
      <c r="N43" s="706">
        <v>-3810737.0699999984</v>
      </c>
    </row>
    <row r="44" spans="1:14" s="318" customFormat="1" ht="15" x14ac:dyDescent="0.25">
      <c r="A44" s="82"/>
      <c r="B44" s="323"/>
      <c r="C44" s="324" t="s">
        <v>319</v>
      </c>
      <c r="D44" s="394">
        <v>0</v>
      </c>
      <c r="E44" s="381">
        <f t="shared" si="12"/>
        <v>109579.39</v>
      </c>
      <c r="F44" s="393">
        <f t="shared" si="13"/>
        <v>109579.39</v>
      </c>
      <c r="G44" s="381">
        <v>109579.39</v>
      </c>
      <c r="H44" s="394">
        <f>789079.39-679500</f>
        <v>109579.39000000001</v>
      </c>
      <c r="I44" s="394">
        <f t="shared" si="14"/>
        <v>0</v>
      </c>
      <c r="J44" s="82"/>
      <c r="L44" s="705">
        <f t="shared" si="4"/>
        <v>0</v>
      </c>
      <c r="M44" s="446">
        <f t="shared" si="5"/>
        <v>0</v>
      </c>
      <c r="N44" s="706">
        <v>109579.39</v>
      </c>
    </row>
    <row r="45" spans="1:14" s="318" customFormat="1" ht="15" x14ac:dyDescent="0.25">
      <c r="A45" s="82"/>
      <c r="B45" s="323"/>
      <c r="C45" s="324" t="s">
        <v>320</v>
      </c>
      <c r="D45" s="394">
        <v>13661469.08</v>
      </c>
      <c r="E45" s="381">
        <f t="shared" si="12"/>
        <v>298983.3900000006</v>
      </c>
      <c r="F45" s="393">
        <f t="shared" si="13"/>
        <v>13960452.470000001</v>
      </c>
      <c r="G45" s="386">
        <v>13960452.470000001</v>
      </c>
      <c r="H45" s="394">
        <v>13931640.890000001</v>
      </c>
      <c r="I45" s="394">
        <f>+F45-G45</f>
        <v>0</v>
      </c>
      <c r="J45" s="82"/>
      <c r="L45" s="439">
        <f t="shared" si="4"/>
        <v>28811.580000000075</v>
      </c>
      <c r="M45" s="446">
        <f t="shared" si="5"/>
        <v>0</v>
      </c>
      <c r="N45" s="706">
        <v>298983.3900000006</v>
      </c>
    </row>
    <row r="46" spans="1:14" s="318" customFormat="1" ht="15" x14ac:dyDescent="0.25">
      <c r="A46" s="82"/>
      <c r="B46" s="323"/>
      <c r="C46" s="324" t="s">
        <v>321</v>
      </c>
      <c r="D46" s="400">
        <v>0</v>
      </c>
      <c r="E46" s="381">
        <f t="shared" si="12"/>
        <v>0</v>
      </c>
      <c r="F46" s="393">
        <f t="shared" si="13"/>
        <v>0</v>
      </c>
      <c r="G46" s="386">
        <v>0</v>
      </c>
      <c r="H46" s="400">
        <v>0</v>
      </c>
      <c r="I46" s="400">
        <f t="shared" si="14"/>
        <v>0</v>
      </c>
      <c r="J46" s="82"/>
      <c r="L46" s="439">
        <f t="shared" si="4"/>
        <v>0</v>
      </c>
      <c r="M46" s="446">
        <f t="shared" si="5"/>
        <v>0</v>
      </c>
      <c r="N46" s="706">
        <v>0</v>
      </c>
    </row>
    <row r="47" spans="1:14" s="318" customFormat="1" ht="15" x14ac:dyDescent="0.25">
      <c r="A47" s="82"/>
      <c r="B47" s="323"/>
      <c r="C47" s="324"/>
      <c r="D47" s="400"/>
      <c r="E47" s="381">
        <f t="shared" si="12"/>
        <v>0</v>
      </c>
      <c r="F47" s="393">
        <f t="shared" si="13"/>
        <v>0</v>
      </c>
      <c r="G47" s="400"/>
      <c r="H47" s="400"/>
      <c r="I47" s="394"/>
      <c r="J47" s="82"/>
      <c r="L47" s="439">
        <f t="shared" si="4"/>
        <v>0</v>
      </c>
      <c r="M47" s="446">
        <f t="shared" si="5"/>
        <v>0</v>
      </c>
      <c r="N47" s="706">
        <v>0</v>
      </c>
    </row>
    <row r="48" spans="1:14" s="320" customFormat="1" ht="15" x14ac:dyDescent="0.25">
      <c r="A48" s="319"/>
      <c r="B48" s="877" t="s">
        <v>322</v>
      </c>
      <c r="C48" s="878"/>
      <c r="D48" s="513">
        <f>SUM(D49:D52)</f>
        <v>8748716744.9799995</v>
      </c>
      <c r="E48" s="513">
        <f>SUM(E49:E52)</f>
        <v>1563088982.0600002</v>
      </c>
      <c r="F48" s="509">
        <f>+D48+E48</f>
        <v>10311805727.039999</v>
      </c>
      <c r="G48" s="513">
        <f t="shared" ref="G48:H48" si="15">SUM(G49:G52)</f>
        <v>10311805727.02</v>
      </c>
      <c r="H48" s="513">
        <f t="shared" si="15"/>
        <v>10311805727.02</v>
      </c>
      <c r="I48" s="513">
        <f>+F48-G48</f>
        <v>1.9998550415039063E-2</v>
      </c>
      <c r="J48" s="514"/>
      <c r="L48" s="439">
        <f t="shared" si="4"/>
        <v>0</v>
      </c>
      <c r="M48" s="446">
        <f t="shared" si="5"/>
        <v>-1.9998550415039063E-2</v>
      </c>
      <c r="N48" s="707">
        <v>-1.9998550415039063E-2</v>
      </c>
    </row>
    <row r="49" spans="1:15" s="318" customFormat="1" ht="15" x14ac:dyDescent="0.25">
      <c r="A49" s="82"/>
      <c r="B49" s="323"/>
      <c r="C49" s="324" t="s">
        <v>323</v>
      </c>
      <c r="D49" s="394">
        <f>+COG!D81+COG!D82+COG!D83+COG!D84+COG!D85+COG!D86</f>
        <v>2768789072.2800002</v>
      </c>
      <c r="E49" s="394">
        <f>+COG!E81+COG!E82+COG!E83+COG!E84+COG!E85+COG!E86</f>
        <v>722595685.56999993</v>
      </c>
      <c r="F49" s="393">
        <f>+D49+E49</f>
        <v>3491384757.8500004</v>
      </c>
      <c r="G49" s="394">
        <f>+COG!G81+COG!G82+COG!G83+COG!G84+COG!G85+COG!G86</f>
        <v>3491384757.8299999</v>
      </c>
      <c r="H49" s="394">
        <f>+G49</f>
        <v>3491384757.8299999</v>
      </c>
      <c r="I49" s="386">
        <f t="shared" ref="I49:I52" si="16">+F49-G49</f>
        <v>2.0000457763671875E-2</v>
      </c>
      <c r="J49" s="82"/>
      <c r="L49" s="439">
        <f t="shared" si="4"/>
        <v>0</v>
      </c>
      <c r="M49" s="446">
        <f t="shared" si="5"/>
        <v>-2.0000457763671875E-2</v>
      </c>
      <c r="N49" s="706">
        <v>-2.0000457763671875E-2</v>
      </c>
    </row>
    <row r="50" spans="1:15" s="318" customFormat="1" ht="28.5" x14ac:dyDescent="0.25">
      <c r="A50" s="82"/>
      <c r="B50" s="323"/>
      <c r="C50" s="324" t="s">
        <v>324</v>
      </c>
      <c r="D50" s="394">
        <v>5379927672.6999998</v>
      </c>
      <c r="E50" s="394">
        <f>+COG!E76</f>
        <v>818251219.49000025</v>
      </c>
      <c r="F50" s="394">
        <f t="shared" ref="F50:F52" si="17">+D50+E50</f>
        <v>6198178892.1900005</v>
      </c>
      <c r="G50" s="394">
        <f>+COG!G76</f>
        <v>6198178892.1900005</v>
      </c>
      <c r="H50" s="394">
        <f>+G50</f>
        <v>6198178892.1900005</v>
      </c>
      <c r="I50" s="394">
        <f t="shared" si="16"/>
        <v>0</v>
      </c>
      <c r="J50" s="82"/>
      <c r="L50" s="439">
        <f t="shared" si="4"/>
        <v>0</v>
      </c>
      <c r="M50" s="446">
        <f t="shared" si="5"/>
        <v>0</v>
      </c>
      <c r="N50" s="706">
        <v>0</v>
      </c>
    </row>
    <row r="51" spans="1:15" s="318" customFormat="1" x14ac:dyDescent="0.25">
      <c r="A51" s="82"/>
      <c r="B51" s="323"/>
      <c r="C51" s="324" t="s">
        <v>325</v>
      </c>
      <c r="D51" s="394">
        <v>0</v>
      </c>
      <c r="E51" s="394">
        <v>0</v>
      </c>
      <c r="F51" s="394">
        <f t="shared" si="17"/>
        <v>0</v>
      </c>
      <c r="G51" s="394">
        <v>0</v>
      </c>
      <c r="H51" s="394">
        <v>0</v>
      </c>
      <c r="I51" s="394">
        <f t="shared" si="16"/>
        <v>0</v>
      </c>
      <c r="J51" s="82"/>
      <c r="L51" s="439">
        <f t="shared" si="4"/>
        <v>0</v>
      </c>
      <c r="M51" s="446">
        <f t="shared" si="5"/>
        <v>0</v>
      </c>
      <c r="N51" s="706">
        <v>0</v>
      </c>
    </row>
    <row r="52" spans="1:15" s="318" customFormat="1" x14ac:dyDescent="0.25">
      <c r="A52" s="82"/>
      <c r="B52" s="323"/>
      <c r="C52" s="324" t="s">
        <v>326</v>
      </c>
      <c r="D52" s="394">
        <v>600000000</v>
      </c>
      <c r="E52" s="394">
        <f>+COG!E87</f>
        <v>22242077</v>
      </c>
      <c r="F52" s="394">
        <f t="shared" si="17"/>
        <v>622242077</v>
      </c>
      <c r="G52" s="394">
        <f>+COG!G87</f>
        <v>622242077</v>
      </c>
      <c r="H52" s="394">
        <f>+G52</f>
        <v>622242077</v>
      </c>
      <c r="I52" s="394">
        <f t="shared" si="16"/>
        <v>0</v>
      </c>
      <c r="J52" s="82"/>
      <c r="L52" s="439">
        <f t="shared" si="4"/>
        <v>0</v>
      </c>
      <c r="M52" s="446">
        <f t="shared" si="5"/>
        <v>0</v>
      </c>
      <c r="N52" s="706">
        <v>0</v>
      </c>
    </row>
    <row r="53" spans="1:15" s="318" customFormat="1" x14ac:dyDescent="0.25">
      <c r="A53" s="82"/>
      <c r="B53" s="325"/>
      <c r="C53" s="510"/>
      <c r="D53" s="511"/>
      <c r="E53" s="511"/>
      <c r="F53" s="511"/>
      <c r="G53" s="511"/>
      <c r="H53" s="511"/>
      <c r="I53" s="512"/>
      <c r="J53" s="82"/>
      <c r="L53" s="439"/>
    </row>
    <row r="54" spans="1:15" s="320" customFormat="1" ht="24" customHeight="1" x14ac:dyDescent="0.25">
      <c r="A54" s="319"/>
      <c r="B54" s="326"/>
      <c r="C54" s="327" t="s">
        <v>240</v>
      </c>
      <c r="D54" s="396">
        <f>+D18+D28+D37+D48</f>
        <v>43763068350</v>
      </c>
      <c r="E54" s="396">
        <f t="shared" ref="E54:F54" si="18">+E18+E28+E37+E48</f>
        <v>2731909576.25</v>
      </c>
      <c r="F54" s="396">
        <f t="shared" si="18"/>
        <v>46494977926.25</v>
      </c>
      <c r="G54" s="396">
        <f>+G18+G28+G37+G48</f>
        <v>46494977926.229996</v>
      </c>
      <c r="H54" s="396">
        <f>+H18+H28+H37+H48</f>
        <v>44814501323.600006</v>
      </c>
      <c r="I54" s="396">
        <f>+I18+I28+I37+I48</f>
        <v>1.9998550415039063E-2</v>
      </c>
      <c r="J54" s="319"/>
      <c r="L54" s="439"/>
    </row>
    <row r="55" spans="1:15" x14ac:dyDescent="0.2">
      <c r="I55" s="399"/>
      <c r="J55" s="425"/>
      <c r="L55" s="439"/>
    </row>
    <row r="56" spans="1:15" x14ac:dyDescent="0.2">
      <c r="D56" s="16" t="str">
        <f>IF(D54='E A Eje Presup Egresos CA'!D67," ","ERROR")</f>
        <v xml:space="preserve"> </v>
      </c>
      <c r="E56" s="16" t="str">
        <f>IF(E54='E A Eje Presup Egresos CA'!E67," ","ERROR")</f>
        <v xml:space="preserve"> </v>
      </c>
      <c r="F56" s="16" t="str">
        <f>IF(F54='E A Eje Presup Egresos CA'!F67," ","ERROR")</f>
        <v xml:space="preserve"> </v>
      </c>
      <c r="G56" s="16" t="str">
        <f>IF(G54='E A Eje Presup Egresos CA'!G67," ","ERROR")</f>
        <v xml:space="preserve"> </v>
      </c>
      <c r="H56" s="16" t="str">
        <f>IF(H54='E A Eje Presup Egresos CA'!H67," ","ERROR")</f>
        <v xml:space="preserve"> </v>
      </c>
      <c r="I56" s="456" t="str">
        <f>IF(I54='E A Eje Presup Egresos CA'!I67," ","ERROR")</f>
        <v>ERROR</v>
      </c>
      <c r="J56" s="425"/>
      <c r="L56" s="439"/>
    </row>
    <row r="57" spans="1:15" x14ac:dyDescent="0.2">
      <c r="C57" s="427"/>
      <c r="D57" s="556"/>
      <c r="E57" s="556"/>
      <c r="F57" s="556"/>
      <c r="G57" s="556"/>
      <c r="H57" s="556"/>
      <c r="I57" s="556"/>
      <c r="J57" s="427"/>
      <c r="K57" s="427"/>
      <c r="L57" s="439"/>
      <c r="M57" s="427"/>
      <c r="N57" s="427"/>
      <c r="O57" s="427"/>
    </row>
    <row r="58" spans="1:15" x14ac:dyDescent="0.2">
      <c r="C58" s="427"/>
      <c r="D58" s="375"/>
      <c r="E58" s="375"/>
      <c r="F58" s="375"/>
      <c r="G58" s="375"/>
      <c r="H58" s="375"/>
      <c r="I58" s="375"/>
      <c r="J58" s="426"/>
      <c r="K58" s="427"/>
      <c r="L58" s="439"/>
      <c r="M58" s="427"/>
      <c r="N58" s="427"/>
      <c r="O58" s="427"/>
    </row>
    <row r="59" spans="1:15" x14ac:dyDescent="0.2">
      <c r="C59" s="427"/>
      <c r="D59" s="444"/>
      <c r="E59" s="444"/>
      <c r="F59" s="444"/>
      <c r="G59" s="444"/>
      <c r="H59" s="444"/>
      <c r="I59" s="444"/>
      <c r="J59" s="444"/>
      <c r="K59" s="427"/>
      <c r="L59" s="439"/>
      <c r="M59" s="427"/>
      <c r="N59" s="427"/>
      <c r="O59" s="427"/>
    </row>
    <row r="60" spans="1:15" x14ac:dyDescent="0.2">
      <c r="C60" s="427"/>
      <c r="D60" s="426"/>
      <c r="E60" s="440"/>
      <c r="F60" s="426"/>
      <c r="G60" s="426"/>
      <c r="H60" s="426"/>
      <c r="I60" s="466"/>
      <c r="J60" s="427"/>
      <c r="K60" s="427"/>
      <c r="L60" s="439"/>
      <c r="M60" s="427"/>
      <c r="N60" s="427"/>
      <c r="O60" s="427"/>
    </row>
    <row r="61" spans="1:15" x14ac:dyDescent="0.2">
      <c r="C61" s="427"/>
      <c r="D61" s="426"/>
      <c r="E61" s="444"/>
      <c r="F61" s="426"/>
      <c r="G61" s="426"/>
      <c r="H61" s="426"/>
      <c r="I61" s="426"/>
      <c r="J61" s="427"/>
      <c r="K61" s="427"/>
      <c r="L61" s="439"/>
      <c r="M61" s="427"/>
      <c r="N61" s="427"/>
      <c r="O61" s="427"/>
    </row>
    <row r="62" spans="1:15" x14ac:dyDescent="0.2">
      <c r="C62" s="427"/>
      <c r="D62" s="426"/>
      <c r="E62" s="426"/>
      <c r="F62" s="426"/>
      <c r="G62" s="426"/>
      <c r="H62" s="426"/>
      <c r="I62" s="426"/>
      <c r="J62" s="427"/>
      <c r="K62" s="427"/>
      <c r="L62" s="439"/>
      <c r="M62" s="427"/>
      <c r="N62" s="427"/>
      <c r="O62" s="427"/>
    </row>
    <row r="63" spans="1:15" x14ac:dyDescent="0.2">
      <c r="C63" s="427"/>
      <c r="D63" s="426"/>
      <c r="E63" s="426"/>
      <c r="F63" s="426"/>
      <c r="G63" s="426"/>
      <c r="H63" s="444"/>
      <c r="I63" s="426"/>
      <c r="J63" s="427"/>
      <c r="K63" s="427"/>
      <c r="L63" s="439"/>
      <c r="M63" s="427"/>
      <c r="N63" s="427"/>
      <c r="O63" s="427"/>
    </row>
    <row r="64" spans="1:15" x14ac:dyDescent="0.2">
      <c r="C64" s="427"/>
      <c r="D64" s="426"/>
      <c r="E64" s="426"/>
      <c r="F64" s="426"/>
      <c r="G64" s="426"/>
      <c r="H64" s="426"/>
      <c r="I64" s="426"/>
      <c r="J64" s="427"/>
      <c r="K64" s="427"/>
      <c r="L64" s="439"/>
      <c r="M64" s="427"/>
      <c r="N64" s="427"/>
      <c r="O64" s="427"/>
    </row>
    <row r="65" spans="3:15" x14ac:dyDescent="0.2">
      <c r="C65" s="427"/>
      <c r="D65" s="426"/>
      <c r="E65" s="426"/>
      <c r="F65" s="426"/>
      <c r="G65" s="426"/>
      <c r="H65" s="426"/>
      <c r="I65" s="426"/>
      <c r="J65" s="427"/>
      <c r="K65" s="427"/>
      <c r="L65" s="439"/>
      <c r="M65" s="427"/>
      <c r="N65" s="427"/>
      <c r="O65" s="427"/>
    </row>
    <row r="66" spans="3:15" x14ac:dyDescent="0.2">
      <c r="C66" s="427"/>
      <c r="D66" s="426"/>
      <c r="E66" s="426"/>
      <c r="F66" s="426"/>
      <c r="G66" s="426"/>
      <c r="H66" s="426"/>
      <c r="I66" s="426"/>
      <c r="J66" s="427"/>
      <c r="K66" s="427"/>
      <c r="L66" s="427"/>
      <c r="M66" s="427"/>
      <c r="N66" s="427"/>
      <c r="O66" s="427"/>
    </row>
    <row r="67" spans="3:15" x14ac:dyDescent="0.2">
      <c r="C67" s="427"/>
      <c r="D67" s="426"/>
      <c r="E67" s="426"/>
      <c r="F67" s="426"/>
      <c r="G67" s="426"/>
      <c r="H67" s="426"/>
      <c r="I67" s="426"/>
      <c r="J67" s="427"/>
      <c r="K67" s="427"/>
      <c r="L67" s="427"/>
      <c r="M67" s="427"/>
      <c r="N67" s="427"/>
      <c r="O67" s="427"/>
    </row>
    <row r="68" spans="3:15" x14ac:dyDescent="0.2">
      <c r="C68" s="427"/>
      <c r="D68" s="426"/>
      <c r="E68" s="426"/>
      <c r="F68" s="426"/>
      <c r="G68" s="426"/>
      <c r="H68" s="426"/>
      <c r="I68" s="426"/>
      <c r="J68" s="427"/>
      <c r="K68" s="427"/>
      <c r="L68" s="427"/>
      <c r="M68" s="427"/>
      <c r="N68" s="427"/>
      <c r="O68" s="427"/>
    </row>
    <row r="69" spans="3:15" x14ac:dyDescent="0.2">
      <c r="C69" s="427"/>
      <c r="D69" s="426"/>
      <c r="E69" s="426"/>
      <c r="F69" s="426"/>
      <c r="G69" s="426"/>
      <c r="H69" s="426"/>
      <c r="I69" s="426"/>
      <c r="J69" s="427"/>
      <c r="K69" s="427"/>
      <c r="L69" s="427"/>
      <c r="M69" s="427"/>
      <c r="N69" s="427"/>
      <c r="O69" s="427"/>
    </row>
    <row r="70" spans="3:15" x14ac:dyDescent="0.2">
      <c r="C70" s="427"/>
      <c r="D70" s="426"/>
      <c r="E70" s="426"/>
      <c r="F70" s="426"/>
      <c r="G70" s="426"/>
      <c r="H70" s="426"/>
      <c r="I70" s="426"/>
      <c r="J70" s="427"/>
      <c r="K70" s="427"/>
      <c r="L70" s="427"/>
      <c r="M70" s="427"/>
      <c r="N70" s="427"/>
      <c r="O70" s="427"/>
    </row>
    <row r="71" spans="3:15" x14ac:dyDescent="0.2">
      <c r="C71" s="427"/>
      <c r="D71" s="426"/>
      <c r="E71" s="426"/>
      <c r="F71" s="426"/>
      <c r="G71" s="426"/>
      <c r="H71" s="426"/>
      <c r="I71" s="426"/>
      <c r="J71" s="427"/>
      <c r="K71" s="427"/>
      <c r="L71" s="427"/>
      <c r="M71" s="427"/>
      <c r="N71" s="427"/>
      <c r="O71" s="427"/>
    </row>
    <row r="72" spans="3:15" x14ac:dyDescent="0.2">
      <c r="C72" s="427"/>
      <c r="D72" s="426"/>
      <c r="E72" s="426"/>
      <c r="F72" s="426"/>
      <c r="G72" s="426"/>
      <c r="H72" s="426"/>
      <c r="I72" s="426"/>
      <c r="J72" s="427"/>
      <c r="K72" s="427"/>
      <c r="L72" s="427"/>
      <c r="M72" s="427"/>
      <c r="N72" s="427"/>
      <c r="O72" s="427"/>
    </row>
    <row r="73" spans="3:15" x14ac:dyDescent="0.2">
      <c r="C73" s="427"/>
      <c r="D73" s="426"/>
      <c r="E73" s="426"/>
      <c r="F73" s="426"/>
      <c r="G73" s="426"/>
      <c r="H73" s="426"/>
      <c r="I73" s="426"/>
      <c r="J73" s="427"/>
      <c r="K73" s="427"/>
      <c r="L73" s="427"/>
      <c r="M73" s="427"/>
      <c r="N73" s="427"/>
      <c r="O73" s="427"/>
    </row>
    <row r="74" spans="3:15" x14ac:dyDescent="0.2">
      <c r="C74" s="427"/>
      <c r="D74" s="426"/>
      <c r="E74" s="426"/>
      <c r="F74" s="426"/>
      <c r="G74" s="426"/>
      <c r="H74" s="426"/>
      <c r="I74" s="426"/>
      <c r="J74" s="427"/>
      <c r="K74" s="427"/>
      <c r="L74" s="427"/>
      <c r="M74" s="427"/>
      <c r="N74" s="427"/>
      <c r="O74" s="427"/>
    </row>
    <row r="75" spans="3:15" x14ac:dyDescent="0.2">
      <c r="C75" s="427"/>
      <c r="D75" s="426"/>
      <c r="E75" s="426"/>
      <c r="F75" s="426"/>
      <c r="G75" s="426"/>
      <c r="H75" s="426"/>
      <c r="I75" s="426"/>
      <c r="J75" s="427"/>
      <c r="K75" s="427"/>
      <c r="L75" s="427"/>
      <c r="M75" s="427"/>
      <c r="N75" s="427"/>
      <c r="O75" s="427"/>
    </row>
    <row r="76" spans="3:15" x14ac:dyDescent="0.2">
      <c r="C76" s="427"/>
      <c r="D76" s="426"/>
      <c r="E76" s="426"/>
      <c r="F76" s="426"/>
      <c r="G76" s="426"/>
      <c r="H76" s="426"/>
      <c r="I76" s="426"/>
      <c r="J76" s="427"/>
      <c r="K76" s="427"/>
      <c r="L76" s="427"/>
      <c r="M76" s="427"/>
      <c r="N76" s="427"/>
      <c r="O76" s="427"/>
    </row>
    <row r="77" spans="3:15" x14ac:dyDescent="0.2">
      <c r="C77" s="427"/>
      <c r="D77" s="426"/>
      <c r="E77" s="426"/>
      <c r="F77" s="426"/>
      <c r="G77" s="426"/>
      <c r="H77" s="426"/>
      <c r="I77" s="426"/>
      <c r="J77" s="427"/>
      <c r="K77" s="427"/>
      <c r="L77" s="427"/>
      <c r="M77" s="427"/>
      <c r="N77" s="427"/>
      <c r="O77" s="427"/>
    </row>
    <row r="78" spans="3:15" x14ac:dyDescent="0.2">
      <c r="C78" s="427"/>
      <c r="D78" s="426"/>
      <c r="E78" s="426"/>
      <c r="F78" s="426"/>
      <c r="G78" s="426"/>
      <c r="H78" s="426"/>
      <c r="I78" s="426"/>
      <c r="J78" s="427"/>
      <c r="K78" s="427"/>
      <c r="L78" s="427"/>
      <c r="M78" s="427"/>
      <c r="N78" s="427"/>
      <c r="O78" s="427"/>
    </row>
    <row r="79" spans="3:15" x14ac:dyDescent="0.2">
      <c r="C79" s="427"/>
      <c r="D79" s="426"/>
      <c r="E79" s="426"/>
      <c r="F79" s="426"/>
      <c r="G79" s="426"/>
      <c r="H79" s="426"/>
      <c r="I79" s="426"/>
      <c r="J79" s="427"/>
      <c r="K79" s="427"/>
      <c r="L79" s="427"/>
      <c r="M79" s="427"/>
      <c r="N79" s="427"/>
      <c r="O79" s="427"/>
    </row>
    <row r="80" spans="3:15" x14ac:dyDescent="0.2">
      <c r="C80" s="427"/>
      <c r="D80" s="426"/>
      <c r="E80" s="426"/>
      <c r="F80" s="426"/>
      <c r="G80" s="426"/>
      <c r="H80" s="426"/>
      <c r="I80" s="426"/>
      <c r="J80" s="427"/>
      <c r="K80" s="427"/>
      <c r="L80" s="427"/>
      <c r="M80" s="427"/>
      <c r="N80" s="427"/>
      <c r="O80" s="427"/>
    </row>
    <row r="81" spans="3:15" x14ac:dyDescent="0.2">
      <c r="C81" s="427"/>
      <c r="D81" s="426"/>
      <c r="E81" s="426"/>
      <c r="F81" s="426"/>
      <c r="G81" s="426"/>
      <c r="H81" s="426"/>
      <c r="I81" s="426"/>
      <c r="J81" s="427"/>
      <c r="K81" s="427"/>
      <c r="L81" s="427"/>
      <c r="M81" s="427"/>
      <c r="N81" s="427"/>
      <c r="O81" s="427"/>
    </row>
    <row r="82" spans="3:15" x14ac:dyDescent="0.2">
      <c r="C82" s="427"/>
      <c r="D82" s="426"/>
      <c r="E82" s="426"/>
      <c r="F82" s="426"/>
      <c r="G82" s="426"/>
      <c r="H82" s="426"/>
      <c r="I82" s="426"/>
      <c r="J82" s="427"/>
      <c r="K82" s="427"/>
      <c r="L82" s="427"/>
      <c r="M82" s="427"/>
      <c r="N82" s="427"/>
      <c r="O82" s="427"/>
    </row>
    <row r="83" spans="3:15" x14ac:dyDescent="0.2">
      <c r="C83" s="427"/>
      <c r="D83" s="426"/>
      <c r="E83" s="426"/>
      <c r="F83" s="426"/>
      <c r="G83" s="426"/>
      <c r="H83" s="426"/>
      <c r="I83" s="426"/>
      <c r="J83" s="427"/>
      <c r="K83" s="427"/>
      <c r="L83" s="427"/>
      <c r="M83" s="427"/>
      <c r="N83" s="427"/>
      <c r="O83" s="427"/>
    </row>
    <row r="84" spans="3:15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</row>
    <row r="85" spans="3:15" x14ac:dyDescent="0.2">
      <c r="C85" s="427"/>
      <c r="D85" s="441"/>
      <c r="E85" s="441"/>
      <c r="F85" s="441"/>
      <c r="G85" s="441"/>
      <c r="H85" s="441"/>
      <c r="I85" s="441"/>
      <c r="J85" s="427"/>
      <c r="K85" s="427"/>
      <c r="L85" s="427"/>
      <c r="M85" s="427"/>
      <c r="N85" s="427"/>
      <c r="O85" s="427"/>
    </row>
    <row r="86" spans="3:15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</row>
    <row r="87" spans="3:15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</row>
  </sheetData>
  <mergeCells count="12">
    <mergeCell ref="B18:C18"/>
    <mergeCell ref="B28:C28"/>
    <mergeCell ref="B37:C37"/>
    <mergeCell ref="B48:C48"/>
    <mergeCell ref="B8:I8"/>
    <mergeCell ref="B9:I9"/>
    <mergeCell ref="B10:I10"/>
    <mergeCell ref="B11:I11"/>
    <mergeCell ref="B12:I12"/>
    <mergeCell ref="B14:C16"/>
    <mergeCell ref="D14:H14"/>
    <mergeCell ref="I14:I15"/>
  </mergeCells>
  <pageMargins left="0.78" right="0.22" top="0.55118110236220474" bottom="0.74803149606299213" header="0.31496062992125984" footer="0.31496062992125984"/>
  <pageSetup scale="56" orientation="landscape" r:id="rId1"/>
  <ignoredErrors>
    <ignoredError sqref="F28 F37 F48" formula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4"/>
  <sheetViews>
    <sheetView workbookViewId="0">
      <selection activeCell="G30" sqref="G30:H30"/>
    </sheetView>
  </sheetViews>
  <sheetFormatPr baseColWidth="10" defaultRowHeight="14.25" x14ac:dyDescent="0.2"/>
  <cols>
    <col min="1" max="1" width="3" style="266" customWidth="1"/>
    <col min="2" max="2" width="18.5703125" style="266" customWidth="1"/>
    <col min="3" max="3" width="24.140625" style="266" customWidth="1"/>
    <col min="4" max="4" width="15.5703125" style="266" bestFit="1" customWidth="1"/>
    <col min="5" max="5" width="11.42578125" style="266"/>
    <col min="6" max="6" width="22.7109375" style="266" customWidth="1"/>
    <col min="7" max="7" width="13.42578125" style="266" customWidth="1"/>
    <col min="8" max="8" width="10" style="266" customWidth="1"/>
    <col min="9" max="9" width="3" style="266" customWidth="1"/>
    <col min="10" max="16384" width="11.42578125" style="266"/>
  </cols>
  <sheetData>
    <row r="6" spans="1:11" x14ac:dyDescent="0.2">
      <c r="A6" s="17"/>
      <c r="B6" s="17"/>
      <c r="C6" s="17"/>
      <c r="D6" s="17"/>
      <c r="E6" s="17"/>
      <c r="F6" s="17"/>
      <c r="G6" s="17"/>
      <c r="H6" s="17"/>
      <c r="I6" s="17"/>
    </row>
    <row r="7" spans="1:11" ht="15" x14ac:dyDescent="0.25">
      <c r="A7" s="17"/>
      <c r="B7" s="835" t="str">
        <f>+CFG!B8</f>
        <v>Cuenta Pública 2016</v>
      </c>
      <c r="C7" s="836"/>
      <c r="D7" s="836"/>
      <c r="E7" s="836"/>
      <c r="F7" s="836"/>
      <c r="G7" s="836"/>
      <c r="H7" s="837"/>
      <c r="I7" s="17"/>
    </row>
    <row r="8" spans="1:11" ht="15" x14ac:dyDescent="0.25">
      <c r="A8" s="17"/>
      <c r="B8" s="838" t="s">
        <v>389</v>
      </c>
      <c r="C8" s="839"/>
      <c r="D8" s="839"/>
      <c r="E8" s="839"/>
      <c r="F8" s="839"/>
      <c r="G8" s="839"/>
      <c r="H8" s="840"/>
      <c r="I8" s="17"/>
    </row>
    <row r="9" spans="1:11" ht="15" x14ac:dyDescent="0.25">
      <c r="A9" s="17"/>
      <c r="B9" s="838" t="s">
        <v>180</v>
      </c>
      <c r="C9" s="839"/>
      <c r="D9" s="839"/>
      <c r="E9" s="839"/>
      <c r="F9" s="839"/>
      <c r="G9" s="839"/>
      <c r="H9" s="840"/>
      <c r="I9" s="17"/>
    </row>
    <row r="10" spans="1:11" ht="15" x14ac:dyDescent="0.25">
      <c r="A10" s="17"/>
      <c r="B10" s="841" t="str">
        <f>+CFG!B12</f>
        <v>Del 1 de enero al 31 de diciembre de 2016</v>
      </c>
      <c r="C10" s="842"/>
      <c r="D10" s="842"/>
      <c r="E10" s="842"/>
      <c r="F10" s="842"/>
      <c r="G10" s="842"/>
      <c r="H10" s="843"/>
      <c r="I10" s="17"/>
    </row>
    <row r="11" spans="1:11" x14ac:dyDescent="0.2">
      <c r="A11" s="17"/>
      <c r="B11" s="17"/>
      <c r="C11" s="17"/>
      <c r="D11" s="17"/>
      <c r="E11" s="17"/>
      <c r="F11" s="17"/>
      <c r="G11" s="17"/>
      <c r="H11" s="17"/>
      <c r="I11" s="17"/>
    </row>
    <row r="12" spans="1:11" ht="15" x14ac:dyDescent="0.25">
      <c r="A12" s="17"/>
      <c r="B12" s="888" t="s">
        <v>327</v>
      </c>
      <c r="C12" s="888"/>
      <c r="D12" s="888" t="s">
        <v>328</v>
      </c>
      <c r="E12" s="888"/>
      <c r="F12" s="490" t="s">
        <v>329</v>
      </c>
      <c r="G12" s="888" t="s">
        <v>330</v>
      </c>
      <c r="H12" s="888"/>
      <c r="I12" s="17"/>
    </row>
    <row r="13" spans="1:11" ht="15" x14ac:dyDescent="0.25">
      <c r="A13" s="17"/>
      <c r="B13" s="888"/>
      <c r="C13" s="888"/>
      <c r="D13" s="888" t="s">
        <v>331</v>
      </c>
      <c r="E13" s="888"/>
      <c r="F13" s="490" t="s">
        <v>332</v>
      </c>
      <c r="G13" s="888" t="s">
        <v>333</v>
      </c>
      <c r="H13" s="888"/>
      <c r="I13" s="17"/>
    </row>
    <row r="14" spans="1:11" ht="15" x14ac:dyDescent="0.25">
      <c r="A14" s="17"/>
      <c r="B14" s="838" t="s">
        <v>334</v>
      </c>
      <c r="C14" s="839"/>
      <c r="D14" s="839"/>
      <c r="E14" s="839"/>
      <c r="F14" s="839"/>
      <c r="G14" s="839"/>
      <c r="H14" s="840"/>
      <c r="I14" s="17"/>
    </row>
    <row r="15" spans="1:11" x14ac:dyDescent="0.2">
      <c r="A15" s="17"/>
      <c r="B15" s="883"/>
      <c r="C15" s="883"/>
      <c r="D15" s="885"/>
      <c r="E15" s="885"/>
      <c r="F15" s="489"/>
      <c r="G15" s="879"/>
      <c r="H15" s="880"/>
      <c r="I15" s="17"/>
    </row>
    <row r="16" spans="1:11" x14ac:dyDescent="0.2">
      <c r="A16" s="17"/>
      <c r="B16" s="886" t="str">
        <f>+'Edo Analit Deuda y O Pasivos'!G55</f>
        <v>BBVA BANCOMER</v>
      </c>
      <c r="C16" s="887"/>
      <c r="D16" s="881">
        <f>+'Edo Analit Deuda y O Pasivos'!H55</f>
        <v>3620507701.0500002</v>
      </c>
      <c r="E16" s="882"/>
      <c r="F16" s="500">
        <f>+D16-G16</f>
        <v>28660285.630000114</v>
      </c>
      <c r="G16" s="881">
        <f>+'Edo Analit Deuda y O Pasivos'!I55</f>
        <v>3591847415.4200001</v>
      </c>
      <c r="H16" s="882"/>
      <c r="I16" s="17"/>
      <c r="K16" s="429"/>
    </row>
    <row r="17" spans="1:11" x14ac:dyDescent="0.2">
      <c r="A17" s="17"/>
      <c r="B17" s="886" t="str">
        <f>+'Edo Analit Deuda y O Pasivos'!G56</f>
        <v>MULTIVA</v>
      </c>
      <c r="C17" s="887"/>
      <c r="D17" s="881">
        <f>+'Edo Analit Deuda y O Pasivos'!H56</f>
        <v>11822501331.17</v>
      </c>
      <c r="E17" s="882"/>
      <c r="F17" s="500">
        <f t="shared" ref="F17:F22" si="0">+D17-G17</f>
        <v>847475739.62000084</v>
      </c>
      <c r="G17" s="881">
        <f>+'Edo Analit Deuda y O Pasivos'!I56</f>
        <v>10975025591.549999</v>
      </c>
      <c r="H17" s="882"/>
      <c r="I17" s="17"/>
      <c r="K17" s="429"/>
    </row>
    <row r="18" spans="1:11" x14ac:dyDescent="0.2">
      <c r="A18" s="17"/>
      <c r="B18" s="886" t="str">
        <f>+'Edo Analit Deuda y O Pasivos'!G57</f>
        <v>HSBC</v>
      </c>
      <c r="C18" s="887"/>
      <c r="D18" s="881">
        <f>+'Edo Analit Deuda y O Pasivos'!H57</f>
        <v>1293799799.3399999</v>
      </c>
      <c r="E18" s="882"/>
      <c r="F18" s="500">
        <f t="shared" si="0"/>
        <v>10241843</v>
      </c>
      <c r="G18" s="881">
        <f>+'Edo Analit Deuda y O Pasivos'!I57</f>
        <v>1283557956.3399999</v>
      </c>
      <c r="H18" s="882"/>
      <c r="I18" s="17"/>
      <c r="K18" s="429"/>
    </row>
    <row r="19" spans="1:11" x14ac:dyDescent="0.2">
      <c r="A19" s="17"/>
      <c r="B19" s="886" t="str">
        <f>+'Edo Analit Deuda y O Pasivos'!G58</f>
        <v>BANORTE</v>
      </c>
      <c r="C19" s="887"/>
      <c r="D19" s="881">
        <f>+'Edo Analit Deuda y O Pasivos'!H58</f>
        <v>6402291687.9499998</v>
      </c>
      <c r="E19" s="882"/>
      <c r="F19" s="500">
        <f t="shared" si="0"/>
        <v>50678400</v>
      </c>
      <c r="G19" s="881">
        <f>+'Edo Analit Deuda y O Pasivos'!I58</f>
        <v>6351613287.9499998</v>
      </c>
      <c r="H19" s="882"/>
      <c r="I19" s="17"/>
      <c r="K19" s="429"/>
    </row>
    <row r="20" spans="1:11" x14ac:dyDescent="0.2">
      <c r="A20" s="17"/>
      <c r="B20" s="886" t="str">
        <f>+'Edo Analit Deuda y O Pasivos'!G59</f>
        <v>BANOBRAS</v>
      </c>
      <c r="C20" s="887"/>
      <c r="D20" s="881">
        <f>+'Edo Analit Deuda y O Pasivos'!H59</f>
        <v>3983760666.46</v>
      </c>
      <c r="E20" s="882"/>
      <c r="F20" s="500">
        <f t="shared" si="0"/>
        <v>473263.90000009537</v>
      </c>
      <c r="G20" s="881">
        <f>+'Edo Analit Deuda y O Pasivos'!I59</f>
        <v>3983287402.5599999</v>
      </c>
      <c r="H20" s="882"/>
      <c r="I20" s="17"/>
      <c r="K20" s="429"/>
    </row>
    <row r="21" spans="1:11" x14ac:dyDescent="0.2">
      <c r="A21" s="17"/>
      <c r="B21" s="886" t="str">
        <f>+'Edo Analit Deuda y O Pasivos'!G60</f>
        <v>BANCO INTERACCIONES</v>
      </c>
      <c r="C21" s="887"/>
      <c r="D21" s="881">
        <f>+'Edo Analit Deuda y O Pasivos'!H60</f>
        <v>8333891388.4300003</v>
      </c>
      <c r="E21" s="882"/>
      <c r="F21" s="500">
        <f t="shared" si="0"/>
        <v>65971862</v>
      </c>
      <c r="G21" s="881">
        <f>+'Edo Analit Deuda y O Pasivos'!I60</f>
        <v>8267919526.4300003</v>
      </c>
      <c r="H21" s="882"/>
      <c r="I21" s="17"/>
      <c r="K21" s="429"/>
    </row>
    <row r="22" spans="1:11" x14ac:dyDescent="0.2">
      <c r="A22" s="17"/>
      <c r="B22" s="886" t="str">
        <f>+'Edo Analit Deuda y O Pasivos'!G61</f>
        <v>SANTANDER SERFIN</v>
      </c>
      <c r="C22" s="887"/>
      <c r="D22" s="881">
        <f>+'Edo Analit Deuda y O Pasivos'!H61</f>
        <v>2057076866.2</v>
      </c>
      <c r="E22" s="882"/>
      <c r="F22" s="500">
        <f t="shared" si="0"/>
        <v>16284017.440000057</v>
      </c>
      <c r="G22" s="881">
        <f>+'Edo Analit Deuda y O Pasivos'!I61</f>
        <v>2040792848.76</v>
      </c>
      <c r="H22" s="882"/>
      <c r="I22" s="17"/>
      <c r="K22" s="429"/>
    </row>
    <row r="23" spans="1:11" x14ac:dyDescent="0.2">
      <c r="A23" s="17"/>
      <c r="B23" s="879"/>
      <c r="C23" s="880"/>
      <c r="D23" s="881"/>
      <c r="E23" s="882"/>
      <c r="F23" s="501"/>
      <c r="G23" s="881"/>
      <c r="H23" s="882"/>
      <c r="I23" s="17"/>
    </row>
    <row r="24" spans="1:11" x14ac:dyDescent="0.2">
      <c r="A24" s="17"/>
      <c r="B24" s="883" t="s">
        <v>335</v>
      </c>
      <c r="C24" s="883"/>
      <c r="D24" s="885">
        <f>SUM(D15:E23)</f>
        <v>37513829440.599998</v>
      </c>
      <c r="E24" s="885"/>
      <c r="F24" s="502">
        <f>SUM(F15:F23)</f>
        <v>1019785411.5900011</v>
      </c>
      <c r="G24" s="885">
        <f>SUM(G15:H23)</f>
        <v>36494044029.010002</v>
      </c>
      <c r="H24" s="885"/>
      <c r="I24" s="17"/>
    </row>
    <row r="25" spans="1:11" x14ac:dyDescent="0.2">
      <c r="A25" s="17"/>
      <c r="B25" s="883"/>
      <c r="C25" s="883"/>
      <c r="D25" s="883"/>
      <c r="E25" s="883"/>
      <c r="F25" s="501"/>
      <c r="G25" s="883"/>
      <c r="H25" s="883"/>
      <c r="I25" s="17"/>
    </row>
    <row r="26" spans="1:11" ht="15" x14ac:dyDescent="0.25">
      <c r="A26" s="17"/>
      <c r="B26" s="838" t="s">
        <v>336</v>
      </c>
      <c r="C26" s="839"/>
      <c r="D26" s="839"/>
      <c r="E26" s="839"/>
      <c r="F26" s="839"/>
      <c r="G26" s="839"/>
      <c r="H26" s="840"/>
      <c r="I26" s="17"/>
    </row>
    <row r="27" spans="1:11" x14ac:dyDescent="0.2">
      <c r="A27" s="17"/>
      <c r="B27" s="883"/>
      <c r="C27" s="883"/>
      <c r="D27" s="883"/>
      <c r="E27" s="883"/>
      <c r="F27" s="501"/>
      <c r="G27" s="883"/>
      <c r="H27" s="883"/>
      <c r="I27" s="17"/>
    </row>
    <row r="28" spans="1:11" x14ac:dyDescent="0.2">
      <c r="A28" s="17"/>
      <c r="B28" s="883" t="s">
        <v>337</v>
      </c>
      <c r="C28" s="883"/>
      <c r="D28" s="883">
        <f>SUM(D27:E27)</f>
        <v>0</v>
      </c>
      <c r="E28" s="883"/>
      <c r="F28" s="501">
        <f>SUM(F27:F27)</f>
        <v>0</v>
      </c>
      <c r="G28" s="883">
        <f>+D28-F28</f>
        <v>0</v>
      </c>
      <c r="H28" s="883"/>
      <c r="I28" s="17"/>
    </row>
    <row r="29" spans="1:11" x14ac:dyDescent="0.2">
      <c r="A29" s="17"/>
      <c r="B29" s="883"/>
      <c r="C29" s="883"/>
      <c r="D29" s="883"/>
      <c r="E29" s="883"/>
      <c r="F29" s="501"/>
      <c r="G29" s="883"/>
      <c r="H29" s="883"/>
      <c r="I29" s="17"/>
    </row>
    <row r="30" spans="1:11" x14ac:dyDescent="0.2">
      <c r="A30" s="17"/>
      <c r="B30" s="879" t="s">
        <v>137</v>
      </c>
      <c r="C30" s="880"/>
      <c r="D30" s="885">
        <f>+D24+D28</f>
        <v>37513829440.599998</v>
      </c>
      <c r="E30" s="885"/>
      <c r="F30" s="502">
        <f>+F24+F28</f>
        <v>1019785411.5900011</v>
      </c>
      <c r="G30" s="881">
        <f>+G24+G28</f>
        <v>36494044029.010002</v>
      </c>
      <c r="H30" s="882"/>
      <c r="I30" s="17"/>
    </row>
    <row r="31" spans="1:11" x14ac:dyDescent="0.2">
      <c r="A31" s="17"/>
      <c r="B31" s="17"/>
      <c r="C31" s="17"/>
      <c r="D31" s="17"/>
      <c r="E31" s="17"/>
      <c r="F31" s="17"/>
      <c r="G31" s="17"/>
      <c r="H31" s="17"/>
      <c r="I31" s="17"/>
    </row>
    <row r="34" spans="4:5" x14ac:dyDescent="0.2">
      <c r="D34" s="884"/>
      <c r="E34" s="884"/>
    </row>
  </sheetData>
  <mergeCells count="58">
    <mergeCell ref="G21:H21"/>
    <mergeCell ref="G17:H17"/>
    <mergeCell ref="D21:E21"/>
    <mergeCell ref="G20:H20"/>
    <mergeCell ref="G19:H19"/>
    <mergeCell ref="D16:E16"/>
    <mergeCell ref="B16:C16"/>
    <mergeCell ref="D15:E15"/>
    <mergeCell ref="G15:H15"/>
    <mergeCell ref="G16:H16"/>
    <mergeCell ref="B13:C13"/>
    <mergeCell ref="D13:E13"/>
    <mergeCell ref="G13:H13"/>
    <mergeCell ref="B14:H14"/>
    <mergeCell ref="B15:C15"/>
    <mergeCell ref="B7:H7"/>
    <mergeCell ref="B8:H8"/>
    <mergeCell ref="B9:H9"/>
    <mergeCell ref="B10:H10"/>
    <mergeCell ref="B12:C12"/>
    <mergeCell ref="D12:E12"/>
    <mergeCell ref="G12:H12"/>
    <mergeCell ref="B21:C21"/>
    <mergeCell ref="B22:C22"/>
    <mergeCell ref="D22:E22"/>
    <mergeCell ref="D17:E17"/>
    <mergeCell ref="B17:C17"/>
    <mergeCell ref="B20:C20"/>
    <mergeCell ref="B19:C19"/>
    <mergeCell ref="B18:C18"/>
    <mergeCell ref="D29:E29"/>
    <mergeCell ref="B24:C24"/>
    <mergeCell ref="D24:E24"/>
    <mergeCell ref="B26:H26"/>
    <mergeCell ref="B27:C27"/>
    <mergeCell ref="D27:E27"/>
    <mergeCell ref="G27:H27"/>
    <mergeCell ref="B28:C28"/>
    <mergeCell ref="D28:E28"/>
    <mergeCell ref="G28:H28"/>
    <mergeCell ref="B29:C29"/>
    <mergeCell ref="G29:H29"/>
    <mergeCell ref="B23:C23"/>
    <mergeCell ref="G18:H18"/>
    <mergeCell ref="D18:E18"/>
    <mergeCell ref="B25:C25"/>
    <mergeCell ref="D34:E34"/>
    <mergeCell ref="D20:E20"/>
    <mergeCell ref="D19:E19"/>
    <mergeCell ref="B30:C30"/>
    <mergeCell ref="D30:E30"/>
    <mergeCell ref="G30:H30"/>
    <mergeCell ref="D23:E23"/>
    <mergeCell ref="G23:H23"/>
    <mergeCell ref="G22:H22"/>
    <mergeCell ref="G24:H24"/>
    <mergeCell ref="D25:E25"/>
    <mergeCell ref="G25:H25"/>
  </mergeCells>
  <pageMargins left="0.99" right="0.55118110236220474" top="0.28000000000000003" bottom="0.35433070866141736" header="0.23622047244094491" footer="0.23622047244094491"/>
  <pageSetup scale="9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H67"/>
  <sheetViews>
    <sheetView topLeftCell="A4" workbookViewId="0">
      <selection activeCell="B15" sqref="B15"/>
    </sheetView>
  </sheetViews>
  <sheetFormatPr baseColWidth="10" defaultRowHeight="14.25" x14ac:dyDescent="0.2"/>
  <cols>
    <col min="1" max="1" width="52.42578125" style="266" customWidth="1"/>
    <col min="2" max="2" width="30" style="266" customWidth="1"/>
    <col min="3" max="3" width="27.42578125" style="266" customWidth="1"/>
    <col min="4" max="4" width="26.5703125" style="266" bestFit="1" customWidth="1"/>
    <col min="5" max="5" width="14.5703125" style="266" customWidth="1"/>
    <col min="6" max="6" width="12.7109375" style="266" bestFit="1" customWidth="1"/>
    <col min="7" max="7" width="14.140625" style="266" customWidth="1"/>
    <col min="8" max="16384" width="11.42578125" style="266"/>
  </cols>
  <sheetData>
    <row r="7" spans="1:8" ht="15" x14ac:dyDescent="0.25">
      <c r="A7" s="835" t="str">
        <f>+CFG!B8</f>
        <v>Cuenta Pública 2016</v>
      </c>
      <c r="B7" s="836"/>
      <c r="C7" s="837"/>
    </row>
    <row r="8" spans="1:8" ht="15" x14ac:dyDescent="0.25">
      <c r="A8" s="838" t="s">
        <v>389</v>
      </c>
      <c r="B8" s="839"/>
      <c r="C8" s="840"/>
    </row>
    <row r="9" spans="1:8" ht="15" x14ac:dyDescent="0.25">
      <c r="A9" s="838" t="s">
        <v>338</v>
      </c>
      <c r="B9" s="839"/>
      <c r="C9" s="840"/>
    </row>
    <row r="10" spans="1:8" ht="15" x14ac:dyDescent="0.25">
      <c r="A10" s="841" t="str">
        <f>+CFG!B12</f>
        <v>Del 1 de enero al 31 de diciembre de 2016</v>
      </c>
      <c r="B10" s="842"/>
      <c r="C10" s="843"/>
    </row>
    <row r="11" spans="1:8" x14ac:dyDescent="0.2">
      <c r="A11" s="17"/>
      <c r="B11" s="17"/>
    </row>
    <row r="12" spans="1:8" ht="15" x14ac:dyDescent="0.25">
      <c r="A12" s="328" t="s">
        <v>327</v>
      </c>
      <c r="B12" s="328" t="s">
        <v>211</v>
      </c>
      <c r="C12" s="328" t="s">
        <v>237</v>
      </c>
    </row>
    <row r="13" spans="1:8" ht="15" x14ac:dyDescent="0.25">
      <c r="A13" s="892" t="s">
        <v>334</v>
      </c>
      <c r="B13" s="893"/>
      <c r="C13" s="894"/>
    </row>
    <row r="14" spans="1:8" x14ac:dyDescent="0.2">
      <c r="A14" s="329"/>
      <c r="B14" s="329"/>
      <c r="C14" s="330"/>
    </row>
    <row r="15" spans="1:8" x14ac:dyDescent="0.2">
      <c r="A15" s="503" t="s">
        <v>405</v>
      </c>
      <c r="B15" s="504">
        <f>161088536.86+A67</f>
        <v>223009107.43000001</v>
      </c>
      <c r="C15" s="504">
        <f>+B15</f>
        <v>223009107.43000001</v>
      </c>
      <c r="D15" s="425"/>
      <c r="E15" s="425"/>
      <c r="F15" s="425"/>
      <c r="G15" s="425"/>
      <c r="H15" s="425"/>
    </row>
    <row r="16" spans="1:8" x14ac:dyDescent="0.2">
      <c r="A16" s="503" t="s">
        <v>408</v>
      </c>
      <c r="B16" s="504">
        <f>262094752.34+B67</f>
        <v>378339746.96000004</v>
      </c>
      <c r="C16" s="504">
        <f t="shared" ref="C16:C21" si="0">+B16</f>
        <v>378339746.96000004</v>
      </c>
      <c r="D16" s="425"/>
      <c r="E16" s="425"/>
      <c r="F16" s="425"/>
      <c r="G16" s="425"/>
      <c r="H16" s="425"/>
    </row>
    <row r="17" spans="1:8" x14ac:dyDescent="0.2">
      <c r="A17" s="503" t="s">
        <v>412</v>
      </c>
      <c r="B17" s="504">
        <f>103020842.86+C67</f>
        <v>142335262.5</v>
      </c>
      <c r="C17" s="504">
        <f t="shared" si="0"/>
        <v>142335262.5</v>
      </c>
      <c r="D17" s="425"/>
      <c r="E17" s="425"/>
      <c r="F17" s="425"/>
      <c r="G17" s="425"/>
      <c r="H17" s="425"/>
    </row>
    <row r="18" spans="1:8" x14ac:dyDescent="0.2">
      <c r="A18" s="503" t="s">
        <v>411</v>
      </c>
      <c r="B18" s="504">
        <f>338764974.54+D67</f>
        <v>472088481.20000005</v>
      </c>
      <c r="C18" s="504">
        <f t="shared" si="0"/>
        <v>472088481.20000005</v>
      </c>
      <c r="D18" s="425"/>
      <c r="E18" s="425"/>
      <c r="F18" s="425"/>
      <c r="G18" s="425"/>
      <c r="H18" s="425"/>
    </row>
    <row r="19" spans="1:8" x14ac:dyDescent="0.2">
      <c r="A19" s="503" t="s">
        <v>410</v>
      </c>
      <c r="B19" s="504">
        <f>237048126.74+E67</f>
        <v>310154343.78000003</v>
      </c>
      <c r="C19" s="504">
        <f t="shared" si="0"/>
        <v>310154343.78000003</v>
      </c>
      <c r="D19" s="425"/>
      <c r="E19" s="425"/>
      <c r="F19" s="425"/>
      <c r="G19" s="425"/>
      <c r="H19" s="425"/>
    </row>
    <row r="20" spans="1:8" x14ac:dyDescent="0.2">
      <c r="A20" s="503" t="s">
        <v>407</v>
      </c>
      <c r="B20" s="504">
        <f>57401328.79+F67</f>
        <v>79691296.599999994</v>
      </c>
      <c r="C20" s="504">
        <f t="shared" si="0"/>
        <v>79691296.599999994</v>
      </c>
      <c r="D20" s="505"/>
      <c r="E20" s="505"/>
      <c r="F20" s="425"/>
      <c r="G20" s="425"/>
      <c r="H20" s="425"/>
    </row>
    <row r="21" spans="1:8" x14ac:dyDescent="0.2">
      <c r="A21" s="503" t="s">
        <v>406</v>
      </c>
      <c r="B21" s="504">
        <f>503790249.1+G67</f>
        <v>692626092.29999995</v>
      </c>
      <c r="C21" s="504">
        <f t="shared" si="0"/>
        <v>692626092.29999995</v>
      </c>
      <c r="D21" s="505"/>
      <c r="E21" s="505"/>
      <c r="F21" s="425"/>
      <c r="G21" s="425"/>
      <c r="H21" s="425"/>
    </row>
    <row r="22" spans="1:8" x14ac:dyDescent="0.2">
      <c r="A22" s="503"/>
      <c r="B22" s="504"/>
      <c r="C22" s="506"/>
      <c r="D22" s="505"/>
      <c r="E22" s="505"/>
      <c r="F22" s="425"/>
      <c r="G22" s="425"/>
      <c r="H22" s="425"/>
    </row>
    <row r="23" spans="1:8" x14ac:dyDescent="0.2">
      <c r="A23" s="507" t="s">
        <v>339</v>
      </c>
      <c r="B23" s="504">
        <f>SUM(B14:B22)</f>
        <v>2298244330.77</v>
      </c>
      <c r="C23" s="504">
        <f>SUM(C14:C22)</f>
        <v>2298244330.77</v>
      </c>
      <c r="D23" s="505"/>
      <c r="E23" s="505"/>
      <c r="F23" s="425"/>
      <c r="G23" s="425"/>
      <c r="H23" s="425"/>
    </row>
    <row r="24" spans="1:8" x14ac:dyDescent="0.2">
      <c r="A24" s="503"/>
      <c r="B24" s="504"/>
      <c r="C24" s="506"/>
      <c r="D24" s="425"/>
      <c r="E24" s="425"/>
      <c r="F24" s="425"/>
      <c r="G24" s="425"/>
      <c r="H24" s="425"/>
    </row>
    <row r="25" spans="1:8" ht="15" x14ac:dyDescent="0.25">
      <c r="A25" s="889" t="s">
        <v>336</v>
      </c>
      <c r="B25" s="890"/>
      <c r="C25" s="891"/>
      <c r="D25" s="425"/>
      <c r="E25" s="425"/>
      <c r="F25" s="425"/>
      <c r="G25" s="425"/>
      <c r="H25" s="425"/>
    </row>
    <row r="26" spans="1:8" x14ac:dyDescent="0.2">
      <c r="A26" s="503"/>
      <c r="B26" s="503"/>
      <c r="C26" s="506"/>
      <c r="D26" s="425"/>
      <c r="E26" s="425"/>
      <c r="F26" s="425"/>
      <c r="G26" s="425"/>
      <c r="H26" s="425"/>
    </row>
    <row r="27" spans="1:8" x14ac:dyDescent="0.2">
      <c r="A27" s="329"/>
      <c r="B27" s="329"/>
      <c r="C27" s="330"/>
    </row>
    <row r="28" spans="1:8" x14ac:dyDescent="0.2">
      <c r="A28" s="329"/>
      <c r="B28" s="329"/>
      <c r="C28" s="330"/>
    </row>
    <row r="29" spans="1:8" x14ac:dyDescent="0.2">
      <c r="A29" s="331" t="s">
        <v>340</v>
      </c>
      <c r="B29" s="329">
        <f>SUM(B26:B28)</f>
        <v>0</v>
      </c>
      <c r="C29" s="329">
        <f>SUM(C26:C28)</f>
        <v>0</v>
      </c>
    </row>
    <row r="30" spans="1:8" x14ac:dyDescent="0.2">
      <c r="A30" s="329"/>
      <c r="B30" s="329"/>
      <c r="C30" s="330"/>
    </row>
    <row r="31" spans="1:8" x14ac:dyDescent="0.2">
      <c r="A31" s="331" t="s">
        <v>137</v>
      </c>
      <c r="B31" s="364">
        <f>+B23+B29</f>
        <v>2298244330.77</v>
      </c>
      <c r="C31" s="364">
        <f>+C23+C29</f>
        <v>2298244330.77</v>
      </c>
    </row>
    <row r="33" spans="1:8" x14ac:dyDescent="0.2">
      <c r="B33" s="375"/>
    </row>
    <row r="34" spans="1:8" x14ac:dyDescent="0.2">
      <c r="C34" s="363"/>
    </row>
    <row r="35" spans="1:8" x14ac:dyDescent="0.2">
      <c r="B35" s="363"/>
    </row>
    <row r="44" spans="1:8" hidden="1" x14ac:dyDescent="0.2"/>
    <row r="45" spans="1:8" hidden="1" x14ac:dyDescent="0.2">
      <c r="A45" s="266" t="s">
        <v>405</v>
      </c>
      <c r="B45" s="266" t="s">
        <v>408</v>
      </c>
      <c r="C45" s="266" t="s">
        <v>412</v>
      </c>
      <c r="D45" s="266" t="s">
        <v>411</v>
      </c>
      <c r="E45" s="266" t="s">
        <v>410</v>
      </c>
      <c r="F45" s="266" t="s">
        <v>407</v>
      </c>
      <c r="G45" s="266" t="s">
        <v>406</v>
      </c>
    </row>
    <row r="46" spans="1:8" hidden="1" x14ac:dyDescent="0.2">
      <c r="A46" s="708"/>
      <c r="B46" s="708"/>
      <c r="C46" s="708"/>
      <c r="D46" s="708"/>
      <c r="E46" s="708"/>
      <c r="F46" s="708"/>
      <c r="G46" s="708"/>
      <c r="H46" s="708"/>
    </row>
    <row r="47" spans="1:8" hidden="1" x14ac:dyDescent="0.2">
      <c r="A47" s="709">
        <v>19016796.710000001</v>
      </c>
      <c r="B47" s="709">
        <v>31506503.149999999</v>
      </c>
      <c r="C47" s="709">
        <v>12168250.17</v>
      </c>
      <c r="D47" s="709">
        <v>5831320.7999999998</v>
      </c>
      <c r="E47" s="708"/>
      <c r="F47" s="709">
        <v>6849306.8200000003</v>
      </c>
      <c r="G47" s="709">
        <v>21472503.890000001</v>
      </c>
      <c r="H47" s="708"/>
    </row>
    <row r="48" spans="1:8" hidden="1" x14ac:dyDescent="0.2">
      <c r="A48" s="708"/>
      <c r="B48" s="709">
        <v>4172037.43</v>
      </c>
      <c r="C48" s="708"/>
      <c r="D48" s="709">
        <v>18432435.300000001</v>
      </c>
      <c r="E48" s="708"/>
      <c r="F48" s="708"/>
      <c r="G48" s="709">
        <v>35062091.140000001</v>
      </c>
      <c r="H48" s="708"/>
    </row>
    <row r="49" spans="1:8" hidden="1" x14ac:dyDescent="0.2">
      <c r="A49" s="708"/>
      <c r="B49" s="708"/>
      <c r="C49" s="708"/>
      <c r="D49" s="709">
        <v>16472205</v>
      </c>
      <c r="E49" s="708"/>
      <c r="F49" s="708"/>
      <c r="G49" s="674">
        <v>2088625</v>
      </c>
      <c r="H49" s="708"/>
    </row>
    <row r="50" spans="1:8" hidden="1" x14ac:dyDescent="0.2">
      <c r="A50" s="708"/>
      <c r="B50" s="708"/>
      <c r="C50" s="708"/>
      <c r="E50" s="709">
        <v>22539173.850000001</v>
      </c>
      <c r="F50" s="708"/>
      <c r="G50" s="708"/>
      <c r="H50" s="708"/>
    </row>
    <row r="51" spans="1:8" hidden="1" x14ac:dyDescent="0.2">
      <c r="A51" s="708"/>
      <c r="B51" s="708"/>
      <c r="C51" s="708"/>
      <c r="D51" s="708"/>
      <c r="E51" s="708"/>
      <c r="F51" s="708"/>
      <c r="G51" s="708"/>
      <c r="H51" s="708"/>
    </row>
    <row r="52" spans="1:8" hidden="1" x14ac:dyDescent="0.2">
      <c r="A52" s="710">
        <f>SUM(A47:A51)</f>
        <v>19016796.710000001</v>
      </c>
      <c r="B52" s="710">
        <f t="shared" ref="B52:G52" si="1">SUM(B47:B51)</f>
        <v>35678540.579999998</v>
      </c>
      <c r="C52" s="710">
        <f t="shared" si="1"/>
        <v>12168250.17</v>
      </c>
      <c r="D52" s="710">
        <f t="shared" si="1"/>
        <v>40735961.100000001</v>
      </c>
      <c r="E52" s="710">
        <f t="shared" si="1"/>
        <v>22539173.850000001</v>
      </c>
      <c r="F52" s="710">
        <f t="shared" si="1"/>
        <v>6849306.8200000003</v>
      </c>
      <c r="G52" s="710">
        <f t="shared" si="1"/>
        <v>58623220.030000001</v>
      </c>
      <c r="H52" s="708"/>
    </row>
    <row r="53" spans="1:8" hidden="1" x14ac:dyDescent="0.2">
      <c r="A53" s="708"/>
      <c r="B53" s="708"/>
      <c r="C53" s="708"/>
      <c r="D53" s="708"/>
      <c r="E53" s="708"/>
      <c r="F53" s="708"/>
      <c r="G53" s="708"/>
      <c r="H53" s="708"/>
    </row>
    <row r="54" spans="1:8" s="443" customFormat="1" ht="12" hidden="1" x14ac:dyDescent="0.2">
      <c r="A54" s="443">
        <v>21112627.91</v>
      </c>
      <c r="B54" s="443">
        <v>4459764.1399999997</v>
      </c>
      <c r="C54" s="443">
        <v>13403514.359999999</v>
      </c>
      <c r="D54" s="443">
        <v>6507732.04</v>
      </c>
      <c r="E54" s="443">
        <v>24924344.440000001</v>
      </c>
      <c r="F54" s="443">
        <v>7600006.71</v>
      </c>
      <c r="G54" s="443">
        <v>1747085.47</v>
      </c>
    </row>
    <row r="55" spans="1:8" s="443" customFormat="1" ht="12" hidden="1" x14ac:dyDescent="0.2">
      <c r="B55" s="443">
        <v>35143449.149999999</v>
      </c>
      <c r="D55" s="443">
        <v>20570528.640000001</v>
      </c>
      <c r="G55" s="443">
        <v>23887097.16</v>
      </c>
    </row>
    <row r="56" spans="1:8" s="443" customFormat="1" ht="12" hidden="1" x14ac:dyDescent="0.2">
      <c r="D56" s="443">
        <v>18382918.780000001</v>
      </c>
      <c r="G56" s="443">
        <v>39027397.969999999</v>
      </c>
    </row>
    <row r="57" spans="1:8" s="443" customFormat="1" ht="12" hidden="1" x14ac:dyDescent="0.2"/>
    <row r="58" spans="1:8" s="443" customFormat="1" ht="12" hidden="1" x14ac:dyDescent="0.2">
      <c r="A58" s="711">
        <f>SUM(A54:A57)</f>
        <v>21112627.91</v>
      </c>
      <c r="B58" s="711">
        <f t="shared" ref="B58:G58" si="2">SUM(B54:B57)</f>
        <v>39603213.289999999</v>
      </c>
      <c r="C58" s="711">
        <f t="shared" si="2"/>
        <v>13403514.359999999</v>
      </c>
      <c r="D58" s="711">
        <f t="shared" si="2"/>
        <v>45461179.460000001</v>
      </c>
      <c r="E58" s="711">
        <f t="shared" si="2"/>
        <v>24924344.440000001</v>
      </c>
      <c r="F58" s="711">
        <f t="shared" si="2"/>
        <v>7600006.71</v>
      </c>
      <c r="G58" s="711">
        <f t="shared" si="2"/>
        <v>64661580.599999994</v>
      </c>
    </row>
    <row r="59" spans="1:8" s="443" customFormat="1" ht="12" hidden="1" x14ac:dyDescent="0.2"/>
    <row r="60" spans="1:8" s="443" customFormat="1" ht="12" hidden="1" x14ac:dyDescent="0.2">
      <c r="A60" s="443">
        <v>21791145.949999999</v>
      </c>
      <c r="B60" s="443">
        <v>88006.46</v>
      </c>
      <c r="C60" s="443">
        <v>13742655.109999999</v>
      </c>
      <c r="D60" s="443">
        <v>6746102.4000000004</v>
      </c>
      <c r="E60" s="443">
        <v>25642698.75</v>
      </c>
      <c r="F60" s="443">
        <v>7840654.2800000003</v>
      </c>
      <c r="G60" s="443">
        <v>478932.5</v>
      </c>
    </row>
    <row r="61" spans="1:8" s="443" customFormat="1" ht="12" hidden="1" x14ac:dyDescent="0.2">
      <c r="B61" s="443">
        <v>4459764.1500000004</v>
      </c>
      <c r="D61" s="443">
        <v>21324001.5</v>
      </c>
      <c r="G61" s="443">
        <v>24698880.030000001</v>
      </c>
    </row>
    <row r="62" spans="1:8" s="443" customFormat="1" ht="12" hidden="1" x14ac:dyDescent="0.2">
      <c r="B62" s="443">
        <v>36415470.140000001</v>
      </c>
      <c r="D62" s="443">
        <v>19056262.199999999</v>
      </c>
      <c r="G62" s="443">
        <v>40373230.039999999</v>
      </c>
    </row>
    <row r="63" spans="1:8" s="443" customFormat="1" ht="12" hidden="1" x14ac:dyDescent="0.2"/>
    <row r="64" spans="1:8" s="443" customFormat="1" ht="12" hidden="1" x14ac:dyDescent="0.2">
      <c r="A64" s="711">
        <f>SUM(A60:A63)</f>
        <v>21791145.949999999</v>
      </c>
      <c r="B64" s="711">
        <f t="shared" ref="B64:G64" si="3">SUM(B60:B63)</f>
        <v>40963240.75</v>
      </c>
      <c r="C64" s="711">
        <f t="shared" si="3"/>
        <v>13742655.109999999</v>
      </c>
      <c r="D64" s="711">
        <f t="shared" si="3"/>
        <v>47126366.099999994</v>
      </c>
      <c r="E64" s="711">
        <f t="shared" si="3"/>
        <v>25642698.75</v>
      </c>
      <c r="F64" s="711">
        <f t="shared" si="3"/>
        <v>7840654.2800000003</v>
      </c>
      <c r="G64" s="711">
        <f t="shared" si="3"/>
        <v>65551042.57</v>
      </c>
    </row>
    <row r="65" spans="1:7" s="443" customFormat="1" ht="12" hidden="1" x14ac:dyDescent="0.2"/>
    <row r="66" spans="1:7" s="443" customFormat="1" ht="12" hidden="1" x14ac:dyDescent="0.2"/>
    <row r="67" spans="1:7" hidden="1" x14ac:dyDescent="0.2">
      <c r="A67" s="397">
        <f>+A52+A58+A64</f>
        <v>61920570.570000008</v>
      </c>
      <c r="B67" s="397">
        <f t="shared" ref="B67:G67" si="4">+B52+B58+B64</f>
        <v>116244994.62</v>
      </c>
      <c r="C67" s="397">
        <f t="shared" si="4"/>
        <v>39314419.640000001</v>
      </c>
      <c r="D67" s="397">
        <f t="shared" si="4"/>
        <v>133323506.66</v>
      </c>
      <c r="E67" s="397">
        <f t="shared" si="4"/>
        <v>73106217.040000007</v>
      </c>
      <c r="F67" s="397">
        <f t="shared" si="4"/>
        <v>22289967.810000002</v>
      </c>
      <c r="G67" s="397">
        <f t="shared" si="4"/>
        <v>188835843.19999999</v>
      </c>
    </row>
  </sheetData>
  <mergeCells count="6">
    <mergeCell ref="A25:C25"/>
    <mergeCell ref="A7:C7"/>
    <mergeCell ref="A8:C8"/>
    <mergeCell ref="A9:C9"/>
    <mergeCell ref="A10:C10"/>
    <mergeCell ref="A13:C13"/>
  </mergeCells>
  <pageMargins left="1.36" right="0.23622047244094491" top="0.62" bottom="0.74803149606299213" header="0.31496062992125984" footer="0.31496062992125984"/>
  <pageSetup scale="9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H47"/>
  <sheetViews>
    <sheetView topLeftCell="B1" zoomScaleNormal="100" workbookViewId="0">
      <selection activeCell="E21" sqref="E21"/>
    </sheetView>
  </sheetViews>
  <sheetFormatPr baseColWidth="10" defaultRowHeight="14.25" x14ac:dyDescent="0.2"/>
  <cols>
    <col min="1" max="1" width="10.140625" style="266" hidden="1" customWidth="1"/>
    <col min="2" max="2" width="61.42578125" style="266" customWidth="1"/>
    <col min="3" max="3" width="23" style="266" customWidth="1"/>
    <col min="4" max="4" width="21.28515625" style="266" customWidth="1"/>
    <col min="5" max="5" width="21" style="266" customWidth="1"/>
    <col min="6" max="6" width="4.28515625" style="17" customWidth="1"/>
    <col min="7" max="7" width="11.42578125" style="266"/>
    <col min="8" max="8" width="16.85546875" style="266" bestFit="1" customWidth="1"/>
    <col min="9" max="9" width="13.5703125" style="266" bestFit="1" customWidth="1"/>
    <col min="10" max="16384" width="11.42578125" style="266"/>
  </cols>
  <sheetData>
    <row r="7" spans="1:5" ht="15" x14ac:dyDescent="0.25">
      <c r="A7" s="835" t="s">
        <v>389</v>
      </c>
      <c r="B7" s="836"/>
      <c r="C7" s="836"/>
      <c r="D7" s="836"/>
      <c r="E7" s="836"/>
    </row>
    <row r="8" spans="1:5" ht="15" x14ac:dyDescent="0.25">
      <c r="A8" s="838" t="s">
        <v>372</v>
      </c>
      <c r="B8" s="839"/>
      <c r="C8" s="839"/>
      <c r="D8" s="839"/>
      <c r="E8" s="839"/>
    </row>
    <row r="9" spans="1:5" ht="15" x14ac:dyDescent="0.25">
      <c r="A9" s="841" t="str">
        <f>+'Intereses de la Deuda'!A10:C10</f>
        <v>Del 1 de enero al 31 de diciembre de 2016</v>
      </c>
      <c r="B9" s="842"/>
      <c r="C9" s="842"/>
      <c r="D9" s="842"/>
      <c r="E9" s="842"/>
    </row>
    <row r="10" spans="1:5" ht="6" customHeight="1" x14ac:dyDescent="0.2">
      <c r="A10" s="17"/>
      <c r="B10" s="17"/>
      <c r="C10" s="17"/>
      <c r="D10" s="17"/>
      <c r="E10" s="17"/>
    </row>
    <row r="11" spans="1:5" ht="17.25" x14ac:dyDescent="0.2">
      <c r="A11" s="866" t="s">
        <v>76</v>
      </c>
      <c r="B11" s="866"/>
      <c r="C11" s="298" t="s">
        <v>208</v>
      </c>
      <c r="D11" s="298" t="s">
        <v>211</v>
      </c>
      <c r="E11" s="298" t="s">
        <v>397</v>
      </c>
    </row>
    <row r="12" spans="1:5" ht="5.25" customHeight="1" thickBot="1" x14ac:dyDescent="0.25">
      <c r="A12" s="311"/>
      <c r="B12" s="312"/>
      <c r="C12" s="313"/>
      <c r="D12" s="313"/>
      <c r="E12" s="313"/>
    </row>
    <row r="13" spans="1:5" ht="15.75" thickBot="1" x14ac:dyDescent="0.25">
      <c r="A13" s="338"/>
      <c r="B13" s="339" t="s">
        <v>373</v>
      </c>
      <c r="C13" s="365">
        <f>+C14+C15</f>
        <v>43763068350</v>
      </c>
      <c r="D13" s="365">
        <f>+D14+D15</f>
        <v>46351909672.590004</v>
      </c>
      <c r="E13" s="365">
        <f>+E14+E15</f>
        <v>46351909672.590004</v>
      </c>
    </row>
    <row r="14" spans="1:5" ht="15" x14ac:dyDescent="0.2">
      <c r="A14" s="899" t="s">
        <v>398</v>
      </c>
      <c r="B14" s="900"/>
      <c r="C14" s="366">
        <f>+'Edo Analitico Ingresos'!E40</f>
        <v>43472315350</v>
      </c>
      <c r="D14" s="366">
        <f>+'Edo Analitico Ingresos'!H40</f>
        <v>46049716517.590004</v>
      </c>
      <c r="E14" s="366">
        <f>+'Edo Analitico Ingresos'!I40</f>
        <v>46049716517.590004</v>
      </c>
    </row>
    <row r="15" spans="1:5" ht="15" x14ac:dyDescent="0.2">
      <c r="A15" s="895" t="s">
        <v>399</v>
      </c>
      <c r="B15" s="896"/>
      <c r="C15" s="367">
        <f>+'Edo Analitico Ingresos'!E53</f>
        <v>290753000</v>
      </c>
      <c r="D15" s="367">
        <f>+'Edo Analitico Ingresos'!H53</f>
        <v>302193155</v>
      </c>
      <c r="E15" s="367">
        <f>+'Edo Analitico Ingresos'!I53</f>
        <v>302193155</v>
      </c>
    </row>
    <row r="16" spans="1:5" ht="6.75" customHeight="1" thickBot="1" x14ac:dyDescent="0.25">
      <c r="A16" s="299"/>
      <c r="B16" s="300"/>
      <c r="C16" s="368"/>
      <c r="D16" s="368"/>
      <c r="E16" s="368"/>
    </row>
    <row r="17" spans="1:8" ht="15.75" thickBot="1" x14ac:dyDescent="0.25">
      <c r="A17" s="340"/>
      <c r="B17" s="339" t="s">
        <v>374</v>
      </c>
      <c r="C17" s="365">
        <f>+C18+C19</f>
        <v>43573282938.400002</v>
      </c>
      <c r="D17" s="365">
        <f t="shared" ref="D17" si="0">+D18+D19</f>
        <v>45475192514.650002</v>
      </c>
      <c r="E17" s="365">
        <f>+E18+E19</f>
        <v>43794715912.020004</v>
      </c>
      <c r="H17" s="363"/>
    </row>
    <row r="18" spans="1:8" ht="15" x14ac:dyDescent="0.2">
      <c r="A18" s="901" t="s">
        <v>400</v>
      </c>
      <c r="B18" s="902"/>
      <c r="C18" s="366">
        <f>+COG!D88-COG!D81</f>
        <v>43573282938.400002</v>
      </c>
      <c r="D18" s="366">
        <f>+COG!G88-COG!G81</f>
        <v>45475192514.650002</v>
      </c>
      <c r="E18" s="366">
        <f>+COG!H88-COG!H81</f>
        <v>43794715912.020004</v>
      </c>
      <c r="H18" s="363"/>
    </row>
    <row r="19" spans="1:8" ht="15" x14ac:dyDescent="0.2">
      <c r="A19" s="895" t="s">
        <v>401</v>
      </c>
      <c r="B19" s="896"/>
      <c r="C19" s="367"/>
      <c r="D19" s="367"/>
      <c r="E19" s="367"/>
    </row>
    <row r="20" spans="1:8" ht="5.25" customHeight="1" thickBot="1" x14ac:dyDescent="0.25">
      <c r="A20" s="315"/>
      <c r="B20" s="314"/>
      <c r="C20" s="368"/>
      <c r="D20" s="368"/>
      <c r="E20" s="368"/>
    </row>
    <row r="21" spans="1:8" ht="15.75" thickBot="1" x14ac:dyDescent="0.25">
      <c r="A21" s="338"/>
      <c r="B21" s="339" t="s">
        <v>375</v>
      </c>
      <c r="C21" s="365">
        <f>+C13-C17</f>
        <v>189785411.59999847</v>
      </c>
      <c r="D21" s="365">
        <f>+D13-D17</f>
        <v>876717157.94000244</v>
      </c>
      <c r="E21" s="365">
        <f>+E13-E17</f>
        <v>2557193760.5699997</v>
      </c>
    </row>
    <row r="22" spans="1:8" x14ac:dyDescent="0.2">
      <c r="A22" s="17"/>
      <c r="B22" s="17"/>
      <c r="C22" s="17"/>
      <c r="D22" s="17"/>
      <c r="E22" s="17"/>
    </row>
    <row r="23" spans="1:8" ht="17.25" x14ac:dyDescent="0.2">
      <c r="A23" s="866" t="s">
        <v>76</v>
      </c>
      <c r="B23" s="866"/>
      <c r="C23" s="298" t="s">
        <v>208</v>
      </c>
      <c r="D23" s="298" t="s">
        <v>211</v>
      </c>
      <c r="E23" s="298" t="s">
        <v>397</v>
      </c>
    </row>
    <row r="24" spans="1:8" ht="6.75" customHeight="1" x14ac:dyDescent="0.2">
      <c r="A24" s="311"/>
      <c r="B24" s="312"/>
      <c r="C24" s="313"/>
      <c r="D24" s="313"/>
      <c r="E24" s="313"/>
    </row>
    <row r="25" spans="1:8" ht="15" x14ac:dyDescent="0.2">
      <c r="A25" s="895" t="s">
        <v>376</v>
      </c>
      <c r="B25" s="896"/>
      <c r="C25" s="369">
        <f>+C21</f>
        <v>189785411.59999847</v>
      </c>
      <c r="D25" s="369">
        <f>+D21</f>
        <v>876717157.94000244</v>
      </c>
      <c r="E25" s="369">
        <f>+E21</f>
        <v>2557193760.5699997</v>
      </c>
    </row>
    <row r="26" spans="1:8" ht="6" customHeight="1" x14ac:dyDescent="0.2">
      <c r="A26" s="299"/>
      <c r="B26" s="300"/>
      <c r="C26" s="370"/>
      <c r="D26" s="370"/>
      <c r="E26" s="370"/>
    </row>
    <row r="27" spans="1:8" ht="15" x14ac:dyDescent="0.2">
      <c r="A27" s="895" t="s">
        <v>377</v>
      </c>
      <c r="B27" s="896"/>
      <c r="C27" s="369">
        <f>+COG!D82+COG!D84+COG!D83</f>
        <v>2419102233.3800001</v>
      </c>
      <c r="D27" s="369">
        <f>+COG!G82+COG!G83+COG!G84</f>
        <v>2305916484.3200002</v>
      </c>
      <c r="E27" s="369">
        <f>+COG!H82+COG!H83+COG!H84</f>
        <v>2305916484.3200002</v>
      </c>
    </row>
    <row r="28" spans="1:8" ht="7.5" customHeight="1" thickBot="1" x14ac:dyDescent="0.25">
      <c r="A28" s="315"/>
      <c r="B28" s="314"/>
      <c r="C28" s="371"/>
      <c r="D28" s="371"/>
      <c r="E28" s="371"/>
    </row>
    <row r="29" spans="1:8" ht="15.75" thickBot="1" x14ac:dyDescent="0.25">
      <c r="A29" s="340"/>
      <c r="B29" s="339" t="s">
        <v>378</v>
      </c>
      <c r="C29" s="372">
        <f>+C25-C27</f>
        <v>-2229316821.7800016</v>
      </c>
      <c r="D29" s="372">
        <f>+D25-D27</f>
        <v>-1429199326.3799977</v>
      </c>
      <c r="E29" s="372">
        <f>+E25-E27</f>
        <v>251277276.24999952</v>
      </c>
    </row>
    <row r="30" spans="1:8" x14ac:dyDescent="0.2">
      <c r="A30" s="17"/>
      <c r="B30" s="17"/>
      <c r="C30" s="17"/>
      <c r="D30" s="17"/>
      <c r="E30" s="17"/>
    </row>
    <row r="31" spans="1:8" ht="17.25" x14ac:dyDescent="0.2">
      <c r="A31" s="866" t="s">
        <v>76</v>
      </c>
      <c r="B31" s="866"/>
      <c r="C31" s="298" t="s">
        <v>208</v>
      </c>
      <c r="D31" s="298" t="s">
        <v>211</v>
      </c>
      <c r="E31" s="298" t="s">
        <v>397</v>
      </c>
    </row>
    <row r="32" spans="1:8" ht="5.25" customHeight="1" x14ac:dyDescent="0.2">
      <c r="A32" s="311"/>
      <c r="B32" s="312"/>
      <c r="C32" s="313"/>
      <c r="D32" s="313"/>
      <c r="E32" s="313"/>
    </row>
    <row r="33" spans="1:8" ht="15" x14ac:dyDescent="0.2">
      <c r="A33" s="895" t="s">
        <v>379</v>
      </c>
      <c r="B33" s="896"/>
      <c r="C33" s="369">
        <f>+'Edo Analitico Ingresos'!E58</f>
        <v>0</v>
      </c>
      <c r="D33" s="369">
        <f>+'Edo Analitico Ingresos'!H58</f>
        <v>0</v>
      </c>
      <c r="E33" s="369">
        <f>+'Edo Analitico Ingresos'!I58</f>
        <v>0</v>
      </c>
      <c r="H33" s="363"/>
    </row>
    <row r="34" spans="1:8" ht="5.25" customHeight="1" x14ac:dyDescent="0.2">
      <c r="A34" s="299"/>
      <c r="B34" s="300"/>
      <c r="C34" s="370"/>
      <c r="D34" s="370"/>
      <c r="E34" s="370"/>
    </row>
    <row r="35" spans="1:8" ht="15" x14ac:dyDescent="0.2">
      <c r="A35" s="895" t="s">
        <v>380</v>
      </c>
      <c r="B35" s="896"/>
      <c r="C35" s="369">
        <f>+COG!D81</f>
        <v>189785411.59999999</v>
      </c>
      <c r="D35" s="369">
        <f>+COG!G81</f>
        <v>1019785411.58</v>
      </c>
      <c r="E35" s="369">
        <f>+COG!H81</f>
        <v>1019785411.58</v>
      </c>
      <c r="H35" s="363"/>
    </row>
    <row r="36" spans="1:8" ht="3.75" customHeight="1" thickBot="1" x14ac:dyDescent="0.25">
      <c r="A36" s="316"/>
      <c r="B36" s="317"/>
      <c r="C36" s="373"/>
      <c r="D36" s="373"/>
      <c r="E36" s="373"/>
    </row>
    <row r="37" spans="1:8" ht="15.75" thickBot="1" x14ac:dyDescent="0.25">
      <c r="A37" s="340"/>
      <c r="B37" s="339" t="s">
        <v>381</v>
      </c>
      <c r="C37" s="372">
        <f>+C33-C35</f>
        <v>-189785411.59999999</v>
      </c>
      <c r="D37" s="372">
        <f>+D33-D35</f>
        <v>-1019785411.58</v>
      </c>
      <c r="E37" s="372">
        <f>+E33-E35</f>
        <v>-1019785411.58</v>
      </c>
    </row>
    <row r="38" spans="1:8" s="17" customFormat="1" x14ac:dyDescent="0.2"/>
    <row r="39" spans="1:8" ht="30" customHeight="1" x14ac:dyDescent="0.2">
      <c r="A39" s="17"/>
      <c r="B39" s="897" t="s">
        <v>470</v>
      </c>
      <c r="C39" s="897"/>
      <c r="D39" s="897"/>
      <c r="E39" s="897"/>
    </row>
    <row r="40" spans="1:8" ht="45" customHeight="1" x14ac:dyDescent="0.2">
      <c r="A40" s="17"/>
      <c r="B40" s="897" t="s">
        <v>518</v>
      </c>
      <c r="C40" s="897"/>
      <c r="D40" s="897"/>
      <c r="E40" s="897"/>
    </row>
    <row r="41" spans="1:8" x14ac:dyDescent="0.2">
      <c r="A41" s="17"/>
      <c r="B41" s="898" t="s">
        <v>382</v>
      </c>
      <c r="C41" s="898"/>
      <c r="D41" s="898"/>
      <c r="E41" s="898"/>
    </row>
    <row r="42" spans="1:8" s="17" customFormat="1" x14ac:dyDescent="0.2"/>
    <row r="44" spans="1:8" x14ac:dyDescent="0.2">
      <c r="D44" s="375"/>
    </row>
    <row r="45" spans="1:8" x14ac:dyDescent="0.2">
      <c r="D45" s="375"/>
    </row>
    <row r="46" spans="1:8" x14ac:dyDescent="0.2">
      <c r="D46" s="375"/>
    </row>
    <row r="47" spans="1:8" x14ac:dyDescent="0.2">
      <c r="D47" s="375"/>
    </row>
  </sheetData>
  <mergeCells count="17">
    <mergeCell ref="A31:B31"/>
    <mergeCell ref="A7:E7"/>
    <mergeCell ref="A8:E8"/>
    <mergeCell ref="A9:E9"/>
    <mergeCell ref="A11:B11"/>
    <mergeCell ref="A14:B14"/>
    <mergeCell ref="A15:B15"/>
    <mergeCell ref="A18:B18"/>
    <mergeCell ref="A19:B19"/>
    <mergeCell ref="A23:B23"/>
    <mergeCell ref="A25:B25"/>
    <mergeCell ref="A27:B27"/>
    <mergeCell ref="A33:B33"/>
    <mergeCell ref="A35:B35"/>
    <mergeCell ref="B39:E39"/>
    <mergeCell ref="B40:E40"/>
    <mergeCell ref="B41:E41"/>
  </mergeCells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K86"/>
  <sheetViews>
    <sheetView topLeftCell="C13" workbookViewId="0">
      <selection activeCell="C62" sqref="C62:C64"/>
    </sheetView>
  </sheetViews>
  <sheetFormatPr baseColWidth="10" defaultRowHeight="14.25" x14ac:dyDescent="0.2"/>
  <cols>
    <col min="1" max="1" width="4.28515625" style="17" customWidth="1"/>
    <col min="2" max="2" width="26.85546875" style="17" customWidth="1"/>
    <col min="3" max="3" width="29.85546875" style="17" customWidth="1"/>
    <col min="4" max="5" width="21" style="17" customWidth="1"/>
    <col min="6" max="6" width="5.42578125" style="17" customWidth="1"/>
    <col min="7" max="7" width="32.28515625" style="18" customWidth="1"/>
    <col min="8" max="8" width="33.85546875" style="18" customWidth="1"/>
    <col min="9" max="9" width="22" style="17" customWidth="1"/>
    <col min="10" max="10" width="21" style="17" customWidth="1"/>
    <col min="11" max="11" width="4.28515625" style="17" customWidth="1"/>
    <col min="12" max="16384" width="11.42578125" style="17"/>
  </cols>
  <sheetData>
    <row r="7" spans="1:11" s="19" customFormat="1" ht="15" x14ac:dyDescent="0.25">
      <c r="B7" s="20"/>
      <c r="C7" s="741" t="str">
        <f>+'Estado de Situacion Financiera'!C9:I9</f>
        <v>Cuenta Pública 2016</v>
      </c>
      <c r="D7" s="741"/>
      <c r="E7" s="741"/>
      <c r="F7" s="741"/>
      <c r="G7" s="741"/>
      <c r="H7" s="741"/>
      <c r="I7" s="741"/>
      <c r="J7" s="540"/>
      <c r="K7" s="20"/>
    </row>
    <row r="8" spans="1:11" ht="15" x14ac:dyDescent="0.25">
      <c r="B8" s="21"/>
      <c r="C8" s="741" t="s">
        <v>759</v>
      </c>
      <c r="D8" s="741"/>
      <c r="E8" s="741"/>
      <c r="F8" s="741"/>
      <c r="G8" s="741"/>
      <c r="H8" s="741"/>
      <c r="I8" s="741"/>
      <c r="J8" s="540"/>
      <c r="K8" s="21"/>
    </row>
    <row r="9" spans="1:11" ht="15" x14ac:dyDescent="0.25">
      <c r="B9" s="21"/>
      <c r="C9" s="741" t="s">
        <v>789</v>
      </c>
      <c r="D9" s="741"/>
      <c r="E9" s="741"/>
      <c r="F9" s="741"/>
      <c r="G9" s="741"/>
      <c r="H9" s="741"/>
      <c r="I9" s="741"/>
      <c r="J9" s="540"/>
      <c r="K9" s="21"/>
    </row>
    <row r="10" spans="1:11" ht="15" x14ac:dyDescent="0.25">
      <c r="B10" s="21"/>
      <c r="C10" s="741" t="s">
        <v>1</v>
      </c>
      <c r="D10" s="741"/>
      <c r="E10" s="741"/>
      <c r="F10" s="741"/>
      <c r="G10" s="741"/>
      <c r="H10" s="741"/>
      <c r="I10" s="741"/>
      <c r="J10" s="540"/>
      <c r="K10" s="21"/>
    </row>
    <row r="11" spans="1:11" ht="6" customHeight="1" x14ac:dyDescent="0.25">
      <c r="A11" s="540"/>
      <c r="B11" s="540"/>
      <c r="C11" s="23"/>
      <c r="D11" s="23"/>
      <c r="E11" s="23"/>
      <c r="F11" s="23"/>
      <c r="G11" s="23"/>
      <c r="H11" s="23"/>
      <c r="I11" s="19"/>
      <c r="J11" s="19"/>
      <c r="K11" s="19"/>
    </row>
    <row r="12" spans="1:11" ht="16.5" customHeight="1" x14ac:dyDescent="0.2">
      <c r="B12" s="79"/>
      <c r="C12" s="742" t="s">
        <v>388</v>
      </c>
      <c r="D12" s="742"/>
      <c r="E12" s="742"/>
      <c r="F12" s="742"/>
      <c r="G12" s="742"/>
      <c r="H12" s="742"/>
      <c r="I12" s="742"/>
      <c r="J12" s="541"/>
      <c r="K12" s="79"/>
    </row>
    <row r="13" spans="1:11" s="19" customFormat="1" ht="3" customHeight="1" x14ac:dyDescent="0.25">
      <c r="A13" s="540"/>
      <c r="B13" s="25"/>
      <c r="C13" s="25"/>
      <c r="D13" s="25"/>
      <c r="E13" s="25"/>
      <c r="F13" s="23"/>
      <c r="G13" s="26"/>
      <c r="H13" s="26"/>
    </row>
    <row r="14" spans="1:11" s="19" customFormat="1" ht="3" customHeight="1" x14ac:dyDescent="0.2">
      <c r="A14" s="27"/>
      <c r="B14" s="27"/>
      <c r="C14" s="27"/>
      <c r="D14" s="28"/>
      <c r="E14" s="28"/>
      <c r="F14" s="29"/>
      <c r="G14" s="26"/>
      <c r="H14" s="26"/>
    </row>
    <row r="15" spans="1:11" s="34" customFormat="1" ht="20.100000000000001" customHeight="1" x14ac:dyDescent="0.2">
      <c r="A15" s="30"/>
      <c r="B15" s="740" t="s">
        <v>76</v>
      </c>
      <c r="C15" s="740"/>
      <c r="D15" s="31">
        <v>2016</v>
      </c>
      <c r="E15" s="31">
        <v>2015</v>
      </c>
      <c r="F15" s="539"/>
      <c r="G15" s="740" t="s">
        <v>76</v>
      </c>
      <c r="H15" s="740"/>
      <c r="I15" s="31">
        <v>2016</v>
      </c>
      <c r="J15" s="31">
        <v>2015</v>
      </c>
      <c r="K15" s="33"/>
    </row>
    <row r="16" spans="1:11" s="19" customFormat="1" ht="3" customHeight="1" x14ac:dyDescent="0.2">
      <c r="A16" s="35"/>
      <c r="B16" s="36"/>
      <c r="C16" s="36"/>
      <c r="D16" s="37"/>
      <c r="E16" s="37"/>
      <c r="F16" s="26"/>
      <c r="G16" s="26"/>
      <c r="H16" s="26"/>
      <c r="K16" s="38"/>
    </row>
    <row r="17" spans="1:11" s="18" customFormat="1" ht="15" x14ac:dyDescent="0.25">
      <c r="A17" s="39"/>
      <c r="B17" s="738" t="s">
        <v>80</v>
      </c>
      <c r="C17" s="738"/>
      <c r="D17" s="40"/>
      <c r="E17" s="40"/>
      <c r="F17" s="41"/>
      <c r="G17" s="738" t="s">
        <v>81</v>
      </c>
      <c r="H17" s="738"/>
      <c r="I17" s="40"/>
      <c r="J17" s="40"/>
      <c r="K17" s="42"/>
    </row>
    <row r="18" spans="1:11" ht="15" x14ac:dyDescent="0.2">
      <c r="A18" s="43"/>
      <c r="B18" s="722" t="s">
        <v>82</v>
      </c>
      <c r="C18" s="722"/>
      <c r="D18" s="44">
        <f>SUM(D19:D26)</f>
        <v>8265842926.3800011</v>
      </c>
      <c r="E18" s="44">
        <f t="shared" ref="E18" si="0">SUM(E19:E26)</f>
        <v>6373453360.54</v>
      </c>
      <c r="F18" s="41"/>
      <c r="G18" s="738" t="s">
        <v>83</v>
      </c>
      <c r="H18" s="738"/>
      <c r="I18" s="44">
        <f>SUM(I19:I21)</f>
        <v>19695842309.389999</v>
      </c>
      <c r="J18" s="44">
        <f>SUM(J19:J21)</f>
        <v>18160116066.77</v>
      </c>
      <c r="K18" s="45"/>
    </row>
    <row r="19" spans="1:11" x14ac:dyDescent="0.2">
      <c r="A19" s="46"/>
      <c r="B19" s="717" t="s">
        <v>84</v>
      </c>
      <c r="C19" s="717"/>
      <c r="D19" s="47">
        <v>4522248029</v>
      </c>
      <c r="E19" s="47">
        <v>3598775692.1500001</v>
      </c>
      <c r="F19" s="41"/>
      <c r="G19" s="717" t="s">
        <v>85</v>
      </c>
      <c r="H19" s="717"/>
      <c r="I19" s="47">
        <v>15299981875.92</v>
      </c>
      <c r="J19" s="47">
        <v>15124111401.57</v>
      </c>
      <c r="K19" s="45"/>
    </row>
    <row r="20" spans="1:11" x14ac:dyDescent="0.2">
      <c r="A20" s="46"/>
      <c r="B20" s="717" t="s">
        <v>86</v>
      </c>
      <c r="C20" s="717"/>
      <c r="D20" s="47">
        <v>0</v>
      </c>
      <c r="E20" s="47">
        <v>0</v>
      </c>
      <c r="F20" s="41"/>
      <c r="G20" s="717" t="s">
        <v>87</v>
      </c>
      <c r="H20" s="717"/>
      <c r="I20" s="47">
        <v>927200011.75</v>
      </c>
      <c r="J20" s="47">
        <v>554346269.42999995</v>
      </c>
      <c r="K20" s="45"/>
    </row>
    <row r="21" spans="1:11" x14ac:dyDescent="0.2">
      <c r="A21" s="46"/>
      <c r="B21" s="717" t="s">
        <v>88</v>
      </c>
      <c r="C21" s="717"/>
      <c r="D21" s="47">
        <v>528446508.38999999</v>
      </c>
      <c r="E21" s="47">
        <v>388119069.43000001</v>
      </c>
      <c r="F21" s="41"/>
      <c r="G21" s="717" t="s">
        <v>89</v>
      </c>
      <c r="H21" s="717"/>
      <c r="I21" s="47">
        <v>3468660421.7199998</v>
      </c>
      <c r="J21" s="47">
        <v>2481658395.77</v>
      </c>
      <c r="K21" s="45"/>
    </row>
    <row r="22" spans="1:11" ht="15" x14ac:dyDescent="0.2">
      <c r="A22" s="46"/>
      <c r="B22" s="717" t="s">
        <v>90</v>
      </c>
      <c r="C22" s="717"/>
      <c r="D22" s="47">
        <v>2742609713.8200002</v>
      </c>
      <c r="E22" s="47">
        <v>1832660424.54</v>
      </c>
      <c r="F22" s="41"/>
      <c r="G22" s="542"/>
      <c r="H22" s="49"/>
      <c r="I22" s="50"/>
      <c r="J22" s="50"/>
      <c r="K22" s="45"/>
    </row>
    <row r="23" spans="1:11" ht="15" x14ac:dyDescent="0.2">
      <c r="A23" s="46"/>
      <c r="B23" s="717" t="s">
        <v>91</v>
      </c>
      <c r="C23" s="717"/>
      <c r="D23" s="47">
        <v>55285981.880000003</v>
      </c>
      <c r="E23" s="47">
        <v>48332793.539999999</v>
      </c>
      <c r="F23" s="41"/>
      <c r="G23" s="738" t="s">
        <v>194</v>
      </c>
      <c r="H23" s="738"/>
      <c r="I23" s="44">
        <f>SUM(I24:I32)</f>
        <v>13903480200.16</v>
      </c>
      <c r="J23" s="44">
        <f>SUM(J24:J32)</f>
        <v>12533919301.74</v>
      </c>
      <c r="K23" s="45"/>
    </row>
    <row r="24" spans="1:11" x14ac:dyDescent="0.2">
      <c r="A24" s="46"/>
      <c r="B24" s="717" t="s">
        <v>92</v>
      </c>
      <c r="C24" s="717"/>
      <c r="D24" s="47">
        <v>417252693.29000002</v>
      </c>
      <c r="E24" s="47">
        <v>505565380.88</v>
      </c>
      <c r="F24" s="41"/>
      <c r="G24" s="717" t="s">
        <v>93</v>
      </c>
      <c r="H24" s="717"/>
      <c r="I24" s="47">
        <v>8863827559.5200005</v>
      </c>
      <c r="J24" s="47">
        <v>4935163129.4799995</v>
      </c>
      <c r="K24" s="45"/>
    </row>
    <row r="25" spans="1:11" x14ac:dyDescent="0.2">
      <c r="A25" s="46"/>
      <c r="B25" s="717" t="s">
        <v>94</v>
      </c>
      <c r="C25" s="717"/>
      <c r="D25" s="47">
        <v>0</v>
      </c>
      <c r="E25" s="47">
        <v>0</v>
      </c>
      <c r="F25" s="41"/>
      <c r="G25" s="717" t="s">
        <v>95</v>
      </c>
      <c r="H25" s="717"/>
      <c r="I25" s="47">
        <v>322558595.81</v>
      </c>
      <c r="J25" s="47">
        <v>679789780.84000003</v>
      </c>
      <c r="K25" s="45"/>
    </row>
    <row r="26" spans="1:11" ht="52.5" customHeight="1" x14ac:dyDescent="0.2">
      <c r="A26" s="46"/>
      <c r="B26" s="720" t="s">
        <v>96</v>
      </c>
      <c r="C26" s="720"/>
      <c r="D26" s="562">
        <v>0</v>
      </c>
      <c r="E26" s="562">
        <v>0</v>
      </c>
      <c r="F26" s="41"/>
      <c r="G26" s="739" t="s">
        <v>97</v>
      </c>
      <c r="H26" s="739"/>
      <c r="I26" s="562">
        <v>1968004414.01</v>
      </c>
      <c r="J26" s="562">
        <v>1277902648.6600001</v>
      </c>
      <c r="K26" s="45"/>
    </row>
    <row r="27" spans="1:11" ht="15" x14ac:dyDescent="0.2">
      <c r="A27" s="43"/>
      <c r="B27" s="542"/>
      <c r="C27" s="49"/>
      <c r="D27" s="50"/>
      <c r="E27" s="50"/>
      <c r="F27" s="41"/>
      <c r="G27" s="717" t="s">
        <v>98</v>
      </c>
      <c r="H27" s="717"/>
      <c r="I27" s="47">
        <v>2625729336.27</v>
      </c>
      <c r="J27" s="47">
        <v>5526821246.9300003</v>
      </c>
      <c r="K27" s="45"/>
    </row>
    <row r="28" spans="1:11" ht="29.25" customHeight="1" x14ac:dyDescent="0.2">
      <c r="A28" s="43"/>
      <c r="B28" s="722" t="s">
        <v>99</v>
      </c>
      <c r="C28" s="722"/>
      <c r="D28" s="44">
        <f>SUM(D29:D30)</f>
        <v>37894090526.269997</v>
      </c>
      <c r="E28" s="44">
        <f t="shared" ref="E28" si="1">SUM(E29:E30)</f>
        <v>34523033712.959999</v>
      </c>
      <c r="F28" s="41"/>
      <c r="G28" s="739" t="s">
        <v>100</v>
      </c>
      <c r="H28" s="739"/>
      <c r="I28" s="562">
        <v>34333450.310000002</v>
      </c>
      <c r="J28" s="562">
        <v>33038418.969999999</v>
      </c>
      <c r="K28" s="45"/>
    </row>
    <row r="29" spans="1:11" x14ac:dyDescent="0.2">
      <c r="A29" s="46"/>
      <c r="B29" s="717" t="s">
        <v>101</v>
      </c>
      <c r="C29" s="717"/>
      <c r="D29" s="51">
        <v>37591897371.269997</v>
      </c>
      <c r="E29" s="47">
        <v>34523033712.959999</v>
      </c>
      <c r="F29" s="41"/>
      <c r="G29" s="717" t="s">
        <v>102</v>
      </c>
      <c r="H29" s="717"/>
      <c r="I29" s="47">
        <v>61012500</v>
      </c>
      <c r="J29" s="47">
        <v>57859398.43</v>
      </c>
      <c r="K29" s="45"/>
    </row>
    <row r="30" spans="1:11" x14ac:dyDescent="0.2">
      <c r="A30" s="46"/>
      <c r="B30" s="717" t="s">
        <v>193</v>
      </c>
      <c r="C30" s="717"/>
      <c r="D30" s="47">
        <v>302193155</v>
      </c>
      <c r="E30" s="47">
        <v>0</v>
      </c>
      <c r="F30" s="41"/>
      <c r="G30" s="717" t="s">
        <v>103</v>
      </c>
      <c r="H30" s="717"/>
      <c r="I30" s="47">
        <v>0</v>
      </c>
      <c r="J30" s="47">
        <v>0</v>
      </c>
      <c r="K30" s="45"/>
    </row>
    <row r="31" spans="1:11" ht="15" x14ac:dyDescent="0.2">
      <c r="A31" s="43"/>
      <c r="B31" s="542"/>
      <c r="C31" s="49"/>
      <c r="D31" s="50"/>
      <c r="E31" s="50"/>
      <c r="F31" s="41"/>
      <c r="G31" s="717" t="s">
        <v>104</v>
      </c>
      <c r="H31" s="717"/>
      <c r="I31" s="47">
        <v>0</v>
      </c>
      <c r="J31" s="47">
        <v>0</v>
      </c>
      <c r="K31" s="45"/>
    </row>
    <row r="32" spans="1:11" ht="15" x14ac:dyDescent="0.2">
      <c r="A32" s="46"/>
      <c r="B32" s="722" t="s">
        <v>105</v>
      </c>
      <c r="C32" s="722"/>
      <c r="D32" s="44">
        <f>SUM(D33:D37)</f>
        <v>191976219.94</v>
      </c>
      <c r="E32" s="44">
        <f t="shared" ref="E32" si="2">SUM(E33:E37)</f>
        <v>84462974.340000004</v>
      </c>
      <c r="F32" s="41"/>
      <c r="G32" s="717" t="s">
        <v>106</v>
      </c>
      <c r="H32" s="717"/>
      <c r="I32" s="47">
        <v>28014344.239999998</v>
      </c>
      <c r="J32" s="47">
        <v>23344678.43</v>
      </c>
      <c r="K32" s="45"/>
    </row>
    <row r="33" spans="1:11" ht="15" x14ac:dyDescent="0.2">
      <c r="A33" s="46"/>
      <c r="B33" s="717" t="s">
        <v>107</v>
      </c>
      <c r="C33" s="717"/>
      <c r="D33" s="47">
        <v>0</v>
      </c>
      <c r="E33" s="47">
        <v>0</v>
      </c>
      <c r="F33" s="41"/>
      <c r="G33" s="542"/>
      <c r="H33" s="49"/>
      <c r="I33" s="50"/>
      <c r="J33" s="50"/>
      <c r="K33" s="45"/>
    </row>
    <row r="34" spans="1:11" ht="15" x14ac:dyDescent="0.2">
      <c r="A34" s="46"/>
      <c r="B34" s="717" t="s">
        <v>108</v>
      </c>
      <c r="C34" s="717"/>
      <c r="D34" s="47">
        <v>0</v>
      </c>
      <c r="E34" s="47">
        <v>0</v>
      </c>
      <c r="F34" s="41"/>
      <c r="G34" s="722" t="s">
        <v>101</v>
      </c>
      <c r="H34" s="722"/>
      <c r="I34" s="44">
        <f>SUM(I35:I37)</f>
        <v>6198178892.1900005</v>
      </c>
      <c r="J34" s="44">
        <f>SUM(J35:J37)</f>
        <v>5101864438</v>
      </c>
      <c r="K34" s="45"/>
    </row>
    <row r="35" spans="1:11" ht="26.25" customHeight="1" x14ac:dyDescent="0.2">
      <c r="A35" s="46"/>
      <c r="B35" s="720" t="s">
        <v>109</v>
      </c>
      <c r="C35" s="720"/>
      <c r="D35" s="47">
        <v>0</v>
      </c>
      <c r="E35" s="47">
        <v>0</v>
      </c>
      <c r="F35" s="41"/>
      <c r="G35" s="717" t="s">
        <v>110</v>
      </c>
      <c r="H35" s="717"/>
      <c r="I35" s="47">
        <v>3425672710.9299998</v>
      </c>
      <c r="J35" s="47">
        <v>3060319530</v>
      </c>
      <c r="K35" s="45"/>
    </row>
    <row r="36" spans="1:11" x14ac:dyDescent="0.2">
      <c r="A36" s="46"/>
      <c r="B36" s="717" t="s">
        <v>111</v>
      </c>
      <c r="C36" s="717"/>
      <c r="D36" s="47">
        <v>0</v>
      </c>
      <c r="E36" s="47">
        <v>0</v>
      </c>
      <c r="F36" s="41"/>
      <c r="G36" s="717" t="s">
        <v>50</v>
      </c>
      <c r="H36" s="717"/>
      <c r="I36" s="47">
        <v>2477456243.0300002</v>
      </c>
      <c r="J36" s="47">
        <v>2041544908</v>
      </c>
      <c r="K36" s="45"/>
    </row>
    <row r="37" spans="1:11" x14ac:dyDescent="0.2">
      <c r="A37" s="46"/>
      <c r="B37" s="717" t="s">
        <v>112</v>
      </c>
      <c r="C37" s="717"/>
      <c r="D37" s="47">
        <v>191976219.94</v>
      </c>
      <c r="E37" s="47">
        <v>84462974.340000004</v>
      </c>
      <c r="F37" s="41"/>
      <c r="G37" s="717" t="s">
        <v>113</v>
      </c>
      <c r="H37" s="717"/>
      <c r="I37" s="47">
        <v>295049938.23000002</v>
      </c>
      <c r="J37" s="47">
        <v>0</v>
      </c>
      <c r="K37" s="45"/>
    </row>
    <row r="38" spans="1:11" ht="15" x14ac:dyDescent="0.2">
      <c r="A38" s="43"/>
      <c r="B38" s="542"/>
      <c r="C38" s="52"/>
      <c r="D38" s="40"/>
      <c r="E38" s="40"/>
      <c r="F38" s="41"/>
      <c r="G38" s="542"/>
      <c r="H38" s="49"/>
      <c r="I38" s="50"/>
      <c r="J38" s="50"/>
      <c r="K38" s="45"/>
    </row>
    <row r="39" spans="1:11" ht="15" x14ac:dyDescent="0.2">
      <c r="A39" s="53"/>
      <c r="B39" s="721" t="s">
        <v>114</v>
      </c>
      <c r="C39" s="721"/>
      <c r="D39" s="54">
        <f>D18+D28+D32</f>
        <v>46351909672.589996</v>
      </c>
      <c r="E39" s="54">
        <f>E18+E28+E32</f>
        <v>40980950047.839996</v>
      </c>
      <c r="F39" s="55"/>
      <c r="G39" s="738" t="s">
        <v>115</v>
      </c>
      <c r="H39" s="738"/>
      <c r="I39" s="56">
        <f>SUM(I40:I44)</f>
        <v>2471599346.25</v>
      </c>
      <c r="J39" s="56">
        <f>SUM(J40:J44)</f>
        <v>2730270236.3000002</v>
      </c>
      <c r="K39" s="45"/>
    </row>
    <row r="40" spans="1:11" ht="15" x14ac:dyDescent="0.2">
      <c r="A40" s="43"/>
      <c r="B40" s="721"/>
      <c r="C40" s="721"/>
      <c r="D40" s="40"/>
      <c r="E40" s="40"/>
      <c r="F40" s="41"/>
      <c r="G40" s="717" t="s">
        <v>116</v>
      </c>
      <c r="H40" s="717"/>
      <c r="I40" s="47">
        <v>2298244330.77</v>
      </c>
      <c r="J40" s="47">
        <v>2183977347.1199999</v>
      </c>
      <c r="K40" s="45"/>
    </row>
    <row r="41" spans="1:11" x14ac:dyDescent="0.2">
      <c r="A41" s="57"/>
      <c r="B41" s="41"/>
      <c r="C41" s="41"/>
      <c r="D41" s="41"/>
      <c r="E41" s="41"/>
      <c r="F41" s="41"/>
      <c r="G41" s="717" t="s">
        <v>117</v>
      </c>
      <c r="H41" s="717"/>
      <c r="I41" s="47">
        <v>0</v>
      </c>
      <c r="J41" s="47">
        <v>152002052.84</v>
      </c>
      <c r="K41" s="45"/>
    </row>
    <row r="42" spans="1:11" x14ac:dyDescent="0.2">
      <c r="A42" s="57"/>
      <c r="B42" s="41"/>
      <c r="C42" s="41"/>
      <c r="D42" s="41"/>
      <c r="E42" s="41"/>
      <c r="F42" s="41"/>
      <c r="G42" s="717" t="s">
        <v>118</v>
      </c>
      <c r="H42" s="717"/>
      <c r="I42" s="47">
        <v>7672153.5499999998</v>
      </c>
      <c r="J42" s="47">
        <v>73471108.540000007</v>
      </c>
      <c r="K42" s="45"/>
    </row>
    <row r="43" spans="1:11" x14ac:dyDescent="0.2">
      <c r="A43" s="57"/>
      <c r="B43" s="41"/>
      <c r="C43" s="41"/>
      <c r="D43" s="41"/>
      <c r="E43" s="41"/>
      <c r="F43" s="41"/>
      <c r="G43" s="717" t="s">
        <v>119</v>
      </c>
      <c r="H43" s="717"/>
      <c r="I43" s="47">
        <v>165682861.93000001</v>
      </c>
      <c r="J43" s="47">
        <v>320819727.80000001</v>
      </c>
      <c r="K43" s="45"/>
    </row>
    <row r="44" spans="1:11" x14ac:dyDescent="0.2">
      <c r="A44" s="57"/>
      <c r="B44" s="41"/>
      <c r="C44" s="41"/>
      <c r="D44" s="41"/>
      <c r="E44" s="41"/>
      <c r="F44" s="41"/>
      <c r="G44" s="717" t="s">
        <v>120</v>
      </c>
      <c r="H44" s="717"/>
      <c r="I44" s="47">
        <v>0</v>
      </c>
      <c r="J44" s="47">
        <v>0</v>
      </c>
      <c r="K44" s="45"/>
    </row>
    <row r="45" spans="1:11" ht="15" x14ac:dyDescent="0.2">
      <c r="A45" s="57"/>
      <c r="B45" s="41"/>
      <c r="C45" s="41"/>
      <c r="D45" s="41"/>
      <c r="E45" s="41"/>
      <c r="F45" s="41"/>
      <c r="G45" s="542"/>
      <c r="H45" s="49"/>
      <c r="I45" s="50"/>
      <c r="J45" s="50"/>
      <c r="K45" s="45"/>
    </row>
    <row r="46" spans="1:11" ht="15" x14ac:dyDescent="0.2">
      <c r="A46" s="57"/>
      <c r="B46" s="41"/>
      <c r="C46" s="41"/>
      <c r="D46" s="41"/>
      <c r="E46" s="41"/>
      <c r="F46" s="41"/>
      <c r="G46" s="722" t="s">
        <v>121</v>
      </c>
      <c r="H46" s="722"/>
      <c r="I46" s="56">
        <f>SUM(I47:I52)</f>
        <v>206199721.34</v>
      </c>
      <c r="J46" s="56">
        <f>SUM(J47:J52)</f>
        <v>0</v>
      </c>
      <c r="K46" s="45"/>
    </row>
    <row r="47" spans="1:11" ht="26.25" customHeight="1" x14ac:dyDescent="0.2">
      <c r="A47" s="57"/>
      <c r="B47" s="41"/>
      <c r="C47" s="41"/>
      <c r="D47" s="41"/>
      <c r="E47" s="41"/>
      <c r="F47" s="41"/>
      <c r="G47" s="720" t="s">
        <v>122</v>
      </c>
      <c r="H47" s="720"/>
      <c r="I47" s="47">
        <v>190341228.69</v>
      </c>
      <c r="J47" s="47">
        <v>0</v>
      </c>
      <c r="K47" s="45"/>
    </row>
    <row r="48" spans="1:11" x14ac:dyDescent="0.2">
      <c r="A48" s="57"/>
      <c r="B48" s="41"/>
      <c r="C48" s="41"/>
      <c r="D48" s="41"/>
      <c r="E48" s="41"/>
      <c r="F48" s="41"/>
      <c r="G48" s="717" t="s">
        <v>123</v>
      </c>
      <c r="H48" s="717"/>
      <c r="I48" s="47"/>
      <c r="J48" s="47">
        <v>0</v>
      </c>
      <c r="K48" s="45"/>
    </row>
    <row r="49" spans="1:11" ht="12" customHeight="1" x14ac:dyDescent="0.2">
      <c r="A49" s="57"/>
      <c r="B49" s="41"/>
      <c r="C49" s="41"/>
      <c r="D49" s="41"/>
      <c r="E49" s="41"/>
      <c r="F49" s="41"/>
      <c r="G49" s="717" t="s">
        <v>124</v>
      </c>
      <c r="H49" s="717"/>
      <c r="I49" s="47">
        <v>0</v>
      </c>
      <c r="J49" s="47">
        <v>0</v>
      </c>
      <c r="K49" s="45"/>
    </row>
    <row r="50" spans="1:11" ht="25.5" customHeight="1" x14ac:dyDescent="0.2">
      <c r="A50" s="57"/>
      <c r="B50" s="41"/>
      <c r="C50" s="41"/>
      <c r="D50" s="41"/>
      <c r="E50" s="41"/>
      <c r="F50" s="41"/>
      <c r="G50" s="720" t="s">
        <v>195</v>
      </c>
      <c r="H50" s="720"/>
      <c r="I50" s="47">
        <v>0</v>
      </c>
      <c r="J50" s="47">
        <v>0</v>
      </c>
      <c r="K50" s="45"/>
    </row>
    <row r="51" spans="1:11" x14ac:dyDescent="0.2">
      <c r="A51" s="57"/>
      <c r="B51" s="41"/>
      <c r="C51" s="41"/>
      <c r="D51" s="41"/>
      <c r="E51" s="41"/>
      <c r="F51" s="41"/>
      <c r="G51" s="717" t="s">
        <v>125</v>
      </c>
      <c r="H51" s="717"/>
      <c r="I51" s="47">
        <v>0</v>
      </c>
      <c r="J51" s="47">
        <v>0</v>
      </c>
      <c r="K51" s="45"/>
    </row>
    <row r="52" spans="1:11" x14ac:dyDescent="0.2">
      <c r="A52" s="57"/>
      <c r="B52" s="41"/>
      <c r="C52" s="41"/>
      <c r="D52" s="41"/>
      <c r="E52" s="41"/>
      <c r="F52" s="41"/>
      <c r="G52" s="717" t="s">
        <v>126</v>
      </c>
      <c r="H52" s="717"/>
      <c r="I52" s="47">
        <v>15858492.65</v>
      </c>
      <c r="J52" s="47">
        <v>0</v>
      </c>
      <c r="K52" s="45"/>
    </row>
    <row r="53" spans="1:11" ht="15" x14ac:dyDescent="0.2">
      <c r="A53" s="57"/>
      <c r="B53" s="41"/>
      <c r="C53" s="41"/>
      <c r="D53" s="41"/>
      <c r="E53" s="41"/>
      <c r="F53" s="41"/>
      <c r="G53" s="542"/>
      <c r="H53" s="49"/>
      <c r="I53" s="50"/>
      <c r="J53" s="50"/>
      <c r="K53" s="45"/>
    </row>
    <row r="54" spans="1:11" ht="15" x14ac:dyDescent="0.2">
      <c r="A54" s="57"/>
      <c r="B54" s="41"/>
      <c r="C54" s="41"/>
      <c r="D54" s="41"/>
      <c r="E54" s="41"/>
      <c r="F54" s="41"/>
      <c r="G54" s="722" t="s">
        <v>127</v>
      </c>
      <c r="H54" s="722"/>
      <c r="I54" s="56">
        <f>SUM(I55)</f>
        <v>1821630986.1800001</v>
      </c>
      <c r="J54" s="56">
        <f>SUM(J55)</f>
        <v>1616770239.3199999</v>
      </c>
      <c r="K54" s="45"/>
    </row>
    <row r="55" spans="1:11" x14ac:dyDescent="0.2">
      <c r="A55" s="57"/>
      <c r="B55" s="41"/>
      <c r="C55" s="41"/>
      <c r="D55" s="41"/>
      <c r="E55" s="41"/>
      <c r="F55" s="41"/>
      <c r="G55" s="717" t="s">
        <v>128</v>
      </c>
      <c r="H55" s="717"/>
      <c r="I55" s="47">
        <v>1821630986.1800001</v>
      </c>
      <c r="J55" s="47">
        <v>1616770239.3199999</v>
      </c>
      <c r="K55" s="45"/>
    </row>
    <row r="56" spans="1:11" ht="15" x14ac:dyDescent="0.2">
      <c r="A56" s="57"/>
      <c r="B56" s="41"/>
      <c r="C56" s="41"/>
      <c r="D56" s="41"/>
      <c r="E56" s="41"/>
      <c r="F56" s="41"/>
      <c r="G56" s="542"/>
      <c r="H56" s="49"/>
      <c r="I56" s="50"/>
      <c r="J56" s="50"/>
      <c r="K56" s="45"/>
    </row>
    <row r="57" spans="1:11" x14ac:dyDescent="0.2">
      <c r="A57" s="57"/>
      <c r="B57" s="41"/>
      <c r="C57" s="41"/>
      <c r="D57" s="41"/>
      <c r="E57" s="41"/>
      <c r="F57" s="41"/>
      <c r="G57" s="721" t="s">
        <v>129</v>
      </c>
      <c r="H57" s="721"/>
      <c r="I57" s="58">
        <f>I18+I23+I34+I39+I46+I54</f>
        <v>44296931455.509995</v>
      </c>
      <c r="J57" s="58">
        <f>J18+J23+J34+J39+J46+J54</f>
        <v>40142940282.130005</v>
      </c>
      <c r="K57" s="59"/>
    </row>
    <row r="58" spans="1:11" x14ac:dyDescent="0.2">
      <c r="A58" s="57"/>
      <c r="B58" s="41"/>
      <c r="C58" s="41"/>
      <c r="D58" s="41"/>
      <c r="E58" s="41"/>
      <c r="F58" s="41"/>
      <c r="G58" s="543"/>
      <c r="H58" s="543"/>
      <c r="I58" s="50"/>
      <c r="J58" s="50"/>
      <c r="K58" s="59"/>
    </row>
    <row r="59" spans="1:11" x14ac:dyDescent="0.2">
      <c r="A59" s="57"/>
      <c r="B59" s="41"/>
      <c r="C59" s="41"/>
      <c r="D59" s="41"/>
      <c r="E59" s="41"/>
      <c r="F59" s="41"/>
      <c r="G59" s="737" t="s">
        <v>130</v>
      </c>
      <c r="H59" s="737"/>
      <c r="I59" s="58">
        <f>D39-I57</f>
        <v>2054978217.0800018</v>
      </c>
      <c r="J59" s="58">
        <f>E39-J57</f>
        <v>838009765.70999146</v>
      </c>
      <c r="K59" s="59"/>
    </row>
    <row r="60" spans="1:11" ht="6" customHeight="1" x14ac:dyDescent="0.2">
      <c r="A60" s="61"/>
      <c r="B60" s="62"/>
      <c r="C60" s="62"/>
      <c r="D60" s="62"/>
      <c r="E60" s="62"/>
      <c r="F60" s="62"/>
      <c r="G60" s="63"/>
      <c r="H60" s="63"/>
      <c r="I60" s="62"/>
      <c r="J60" s="62"/>
      <c r="K60" s="64"/>
    </row>
    <row r="61" spans="1:11" ht="6" customHeight="1" x14ac:dyDescent="0.2">
      <c r="A61" s="19"/>
      <c r="B61" s="19"/>
      <c r="C61" s="19"/>
      <c r="D61" s="19"/>
      <c r="E61" s="19"/>
      <c r="F61" s="19"/>
      <c r="G61" s="26"/>
      <c r="H61" s="26"/>
      <c r="I61" s="19"/>
      <c r="J61" s="19"/>
      <c r="K61" s="19"/>
    </row>
    <row r="62" spans="1:11" ht="6" customHeight="1" x14ac:dyDescent="0.2">
      <c r="A62" s="62"/>
      <c r="B62" s="65"/>
      <c r="C62" s="66"/>
      <c r="D62" s="67"/>
      <c r="E62" s="67"/>
      <c r="F62" s="62"/>
      <c r="G62" s="68"/>
      <c r="H62" s="69"/>
      <c r="I62" s="67"/>
      <c r="J62" s="67"/>
      <c r="K62" s="62"/>
    </row>
    <row r="63" spans="1:11" ht="6" customHeight="1" x14ac:dyDescent="0.2">
      <c r="A63" s="19"/>
      <c r="B63" s="49"/>
      <c r="C63" s="70"/>
      <c r="D63" s="71"/>
      <c r="E63" s="71"/>
      <c r="F63" s="19"/>
      <c r="G63" s="72"/>
      <c r="H63" s="73"/>
      <c r="I63" s="71"/>
      <c r="J63" s="71"/>
      <c r="K63" s="19"/>
    </row>
    <row r="64" spans="1:11" ht="15" customHeight="1" x14ac:dyDescent="0.2">
      <c r="B64" s="728" t="s">
        <v>78</v>
      </c>
      <c r="C64" s="728"/>
      <c r="D64" s="728"/>
      <c r="E64" s="728"/>
      <c r="F64" s="728"/>
      <c r="G64" s="728"/>
      <c r="H64" s="728"/>
      <c r="I64" s="728"/>
      <c r="J64" s="728"/>
    </row>
    <row r="65" spans="2:10" ht="9.75" customHeight="1" x14ac:dyDescent="0.2">
      <c r="B65" s="49"/>
      <c r="C65" s="70"/>
      <c r="D65" s="71"/>
      <c r="E65" s="71"/>
      <c r="G65" s="72"/>
      <c r="H65" s="70"/>
      <c r="I65" s="71"/>
      <c r="J65" s="71"/>
    </row>
    <row r="66" spans="2:10" ht="30" customHeight="1" x14ac:dyDescent="0.2">
      <c r="B66" s="49"/>
      <c r="C66" s="727"/>
      <c r="D66" s="727"/>
      <c r="E66" s="557"/>
      <c r="G66" s="726"/>
      <c r="H66" s="726"/>
      <c r="I66" s="71"/>
      <c r="J66" s="71"/>
    </row>
    <row r="67" spans="2:10" ht="14.1" customHeight="1" x14ac:dyDescent="0.2">
      <c r="B67" s="74"/>
      <c r="C67" s="725" t="s">
        <v>403</v>
      </c>
      <c r="D67" s="725"/>
      <c r="E67" s="558"/>
      <c r="F67" s="71"/>
      <c r="G67" s="724" t="s">
        <v>474</v>
      </c>
      <c r="H67" s="724"/>
      <c r="I67" s="75"/>
      <c r="J67" s="75"/>
    </row>
    <row r="68" spans="2:10" ht="14.1" customHeight="1" x14ac:dyDescent="0.2">
      <c r="B68" s="76"/>
      <c r="C68" s="723" t="s">
        <v>402</v>
      </c>
      <c r="D68" s="723"/>
      <c r="E68" s="538"/>
      <c r="F68" s="77"/>
      <c r="G68" s="723" t="s">
        <v>475</v>
      </c>
      <c r="H68" s="723"/>
      <c r="I68" s="75"/>
      <c r="J68" s="75"/>
    </row>
    <row r="69" spans="2:10" ht="9.9499999999999993" customHeight="1" x14ac:dyDescent="0.2">
      <c r="D69" s="78"/>
      <c r="E69" s="78"/>
    </row>
    <row r="70" spans="2:10" x14ac:dyDescent="0.2">
      <c r="D70" s="78"/>
      <c r="E70" s="78"/>
    </row>
    <row r="83" spans="8:8" x14ac:dyDescent="0.2">
      <c r="H83" s="449"/>
    </row>
    <row r="86" spans="8:8" x14ac:dyDescent="0.2">
      <c r="H86" s="450"/>
    </row>
  </sheetData>
  <mergeCells count="71">
    <mergeCell ref="B15:C15"/>
    <mergeCell ref="G15:H15"/>
    <mergeCell ref="C7:I7"/>
    <mergeCell ref="C8:I8"/>
    <mergeCell ref="C9:I9"/>
    <mergeCell ref="C10:I10"/>
    <mergeCell ref="C12:I12"/>
    <mergeCell ref="B23:C23"/>
    <mergeCell ref="G23:H23"/>
    <mergeCell ref="B17:C17"/>
    <mergeCell ref="G17:H17"/>
    <mergeCell ref="B18:C18"/>
    <mergeCell ref="G18:H18"/>
    <mergeCell ref="B19:C19"/>
    <mergeCell ref="G19:H19"/>
    <mergeCell ref="B20:C20"/>
    <mergeCell ref="G20:H20"/>
    <mergeCell ref="B21:C21"/>
    <mergeCell ref="G21:H21"/>
    <mergeCell ref="B22:C22"/>
    <mergeCell ref="B30:C30"/>
    <mergeCell ref="G30:H30"/>
    <mergeCell ref="B24:C24"/>
    <mergeCell ref="G24:H24"/>
    <mergeCell ref="B25:C25"/>
    <mergeCell ref="G25:H25"/>
    <mergeCell ref="B26:C26"/>
    <mergeCell ref="G26:H26"/>
    <mergeCell ref="G27:H27"/>
    <mergeCell ref="B28:C28"/>
    <mergeCell ref="G28:H28"/>
    <mergeCell ref="B29:C29"/>
    <mergeCell ref="G29:H29"/>
    <mergeCell ref="G31:H31"/>
    <mergeCell ref="B32:C32"/>
    <mergeCell ref="G32:H32"/>
    <mergeCell ref="B33:C33"/>
    <mergeCell ref="B34:C34"/>
    <mergeCell ref="G34:H34"/>
    <mergeCell ref="G42:H42"/>
    <mergeCell ref="B35:C35"/>
    <mergeCell ref="G35:H35"/>
    <mergeCell ref="B36:C36"/>
    <mergeCell ref="G36:H36"/>
    <mergeCell ref="B37:C37"/>
    <mergeCell ref="G37:H37"/>
    <mergeCell ref="B39:C39"/>
    <mergeCell ref="G39:H39"/>
    <mergeCell ref="B40:C40"/>
    <mergeCell ref="G40:H40"/>
    <mergeCell ref="G41:H41"/>
    <mergeCell ref="G57:H57"/>
    <mergeCell ref="G43:H43"/>
    <mergeCell ref="G44:H44"/>
    <mergeCell ref="G46:H46"/>
    <mergeCell ref="G47:H47"/>
    <mergeCell ref="G48:H48"/>
    <mergeCell ref="G49:H49"/>
    <mergeCell ref="G50:H50"/>
    <mergeCell ref="G51:H51"/>
    <mergeCell ref="G52:H52"/>
    <mergeCell ref="G54:H54"/>
    <mergeCell ref="G55:H55"/>
    <mergeCell ref="C68:D68"/>
    <mergeCell ref="G68:H68"/>
    <mergeCell ref="G59:H59"/>
    <mergeCell ref="B64:J64"/>
    <mergeCell ref="C66:D66"/>
    <mergeCell ref="G66:H66"/>
    <mergeCell ref="C67:D67"/>
    <mergeCell ref="G67:H67"/>
  </mergeCells>
  <pageMargins left="0.55000000000000004" right="0.19" top="0.47" bottom="0.42" header="0.31496062992125984" footer="0.31496062992125984"/>
  <pageSetup scale="5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P68"/>
  <sheetViews>
    <sheetView topLeftCell="A10" zoomScale="80" zoomScaleNormal="80" workbookViewId="0">
      <selection activeCell="E54" sqref="E54"/>
    </sheetView>
  </sheetViews>
  <sheetFormatPr baseColWidth="10" defaultRowHeight="14.25" x14ac:dyDescent="0.2"/>
  <cols>
    <col min="1" max="1" width="2.140625" style="17" customWidth="1"/>
    <col min="2" max="3" width="3.7109375" style="266" customWidth="1"/>
    <col min="4" max="4" width="65.7109375" style="266" customWidth="1"/>
    <col min="5" max="10" width="20.7109375" style="266" customWidth="1"/>
    <col min="11" max="11" width="3.140625" style="17" customWidth="1"/>
    <col min="12" max="12" width="11.42578125" style="266"/>
    <col min="13" max="13" width="19.42578125" style="708" hidden="1" customWidth="1"/>
    <col min="14" max="14" width="0" style="266" hidden="1" customWidth="1"/>
    <col min="15" max="16" width="20" style="375" hidden="1" customWidth="1"/>
    <col min="17" max="16384" width="11.42578125" style="266"/>
  </cols>
  <sheetData>
    <row r="7" spans="2:16" s="17" customFormat="1" ht="6.75" customHeight="1" x14ac:dyDescent="0.2">
      <c r="M7" s="650"/>
      <c r="O7" s="646"/>
      <c r="P7" s="646"/>
    </row>
    <row r="8" spans="2:16" ht="15" x14ac:dyDescent="0.25">
      <c r="B8" s="835" t="str">
        <f>+CFG!B8</f>
        <v>Cuenta Pública 2016</v>
      </c>
      <c r="C8" s="836"/>
      <c r="D8" s="836"/>
      <c r="E8" s="836"/>
      <c r="F8" s="836"/>
      <c r="G8" s="836"/>
      <c r="H8" s="836"/>
      <c r="I8" s="836"/>
      <c r="J8" s="837"/>
    </row>
    <row r="9" spans="2:16" ht="15" x14ac:dyDescent="0.25">
      <c r="B9" s="838" t="s">
        <v>389</v>
      </c>
      <c r="C9" s="839"/>
      <c r="D9" s="839"/>
      <c r="E9" s="839"/>
      <c r="F9" s="839"/>
      <c r="G9" s="839"/>
      <c r="H9" s="839"/>
      <c r="I9" s="839"/>
      <c r="J9" s="840"/>
    </row>
    <row r="10" spans="2:16" ht="15" x14ac:dyDescent="0.25">
      <c r="B10" s="838" t="s">
        <v>341</v>
      </c>
      <c r="C10" s="839"/>
      <c r="D10" s="839"/>
      <c r="E10" s="839"/>
      <c r="F10" s="839"/>
      <c r="G10" s="839"/>
      <c r="H10" s="839"/>
      <c r="I10" s="839"/>
      <c r="J10" s="840"/>
    </row>
    <row r="11" spans="2:16" ht="15" x14ac:dyDescent="0.25">
      <c r="B11" s="841" t="str">
        <f>+CFG!B12</f>
        <v>Del 1 de enero al 31 de diciembre de 2016</v>
      </c>
      <c r="C11" s="842"/>
      <c r="D11" s="842"/>
      <c r="E11" s="842"/>
      <c r="F11" s="842"/>
      <c r="G11" s="842"/>
      <c r="H11" s="842"/>
      <c r="I11" s="842"/>
      <c r="J11" s="843"/>
    </row>
    <row r="12" spans="2:16" s="17" customFormat="1" ht="2.25" customHeight="1" x14ac:dyDescent="0.2">
      <c r="B12" s="332"/>
      <c r="C12" s="332"/>
      <c r="D12" s="332"/>
      <c r="E12" s="332"/>
      <c r="F12" s="332"/>
      <c r="G12" s="332"/>
      <c r="H12" s="332"/>
      <c r="I12" s="332"/>
      <c r="J12" s="332"/>
      <c r="M12" s="650"/>
      <c r="O12" s="646"/>
      <c r="P12" s="646"/>
    </row>
    <row r="13" spans="2:16" ht="15" x14ac:dyDescent="0.2">
      <c r="B13" s="869" t="s">
        <v>76</v>
      </c>
      <c r="C13" s="910"/>
      <c r="D13" s="870"/>
      <c r="E13" s="867" t="s">
        <v>242</v>
      </c>
      <c r="F13" s="867"/>
      <c r="G13" s="867"/>
      <c r="H13" s="867"/>
      <c r="I13" s="867"/>
      <c r="J13" s="867" t="s">
        <v>234</v>
      </c>
    </row>
    <row r="14" spans="2:16" ht="30" x14ac:dyDescent="0.2">
      <c r="B14" s="871"/>
      <c r="C14" s="911"/>
      <c r="D14" s="872"/>
      <c r="E14" s="298" t="s">
        <v>235</v>
      </c>
      <c r="F14" s="298" t="s">
        <v>236</v>
      </c>
      <c r="G14" s="298" t="s">
        <v>210</v>
      </c>
      <c r="H14" s="298" t="s">
        <v>211</v>
      </c>
      <c r="I14" s="298" t="s">
        <v>237</v>
      </c>
      <c r="J14" s="867"/>
    </row>
    <row r="15" spans="2:16" ht="15.75" customHeight="1" x14ac:dyDescent="0.2">
      <c r="B15" s="873"/>
      <c r="C15" s="912"/>
      <c r="D15" s="874"/>
      <c r="E15" s="298">
        <v>1</v>
      </c>
      <c r="F15" s="298">
        <v>2</v>
      </c>
      <c r="G15" s="298" t="s">
        <v>238</v>
      </c>
      <c r="H15" s="298">
        <v>4</v>
      </c>
      <c r="I15" s="298">
        <v>5</v>
      </c>
      <c r="J15" s="298" t="s">
        <v>239</v>
      </c>
    </row>
    <row r="16" spans="2:16" ht="15" customHeight="1" x14ac:dyDescent="0.2">
      <c r="B16" s="905" t="s">
        <v>342</v>
      </c>
      <c r="C16" s="906"/>
      <c r="D16" s="907"/>
      <c r="E16" s="333"/>
      <c r="F16" s="308"/>
      <c r="G16" s="308"/>
      <c r="H16" s="308"/>
      <c r="I16" s="308"/>
      <c r="J16" s="308"/>
    </row>
    <row r="17" spans="2:16" x14ac:dyDescent="0.2">
      <c r="B17" s="299"/>
      <c r="C17" s="903" t="s">
        <v>343</v>
      </c>
      <c r="D17" s="904"/>
      <c r="E17" s="401">
        <f>+E18+E19</f>
        <v>8148388353.4399996</v>
      </c>
      <c r="F17" s="401">
        <f>+F18+F19</f>
        <v>81163553.830000147</v>
      </c>
      <c r="G17" s="377">
        <f>+E17+F17</f>
        <v>8229551907.2699995</v>
      </c>
      <c r="H17" s="401">
        <f>+H18+H19</f>
        <v>8229551907.2699995</v>
      </c>
      <c r="I17" s="401">
        <f t="shared" ref="I17" si="0">+I18+I19</f>
        <v>8094598209.4200001</v>
      </c>
      <c r="J17" s="404">
        <f>+G17-H17</f>
        <v>0</v>
      </c>
      <c r="M17" s="712">
        <f>+H17-I17</f>
        <v>134953697.84999943</v>
      </c>
      <c r="O17" s="375">
        <f>+H17-G17</f>
        <v>0</v>
      </c>
      <c r="P17" s="375">
        <v>162327107.65999985</v>
      </c>
    </row>
    <row r="18" spans="2:16" x14ac:dyDescent="0.2">
      <c r="B18" s="299"/>
      <c r="C18" s="334"/>
      <c r="D18" s="300" t="s">
        <v>344</v>
      </c>
      <c r="E18" s="404">
        <v>10300000</v>
      </c>
      <c r="F18" s="404">
        <f>+P18</f>
        <v>109909064.23999999</v>
      </c>
      <c r="G18" s="377">
        <f t="shared" ref="G18:G19" si="1">+E18+F18</f>
        <v>120209064.23999999</v>
      </c>
      <c r="H18" s="404">
        <v>120209064.23999999</v>
      </c>
      <c r="I18" s="404">
        <f>120534064.24-325000</f>
        <v>120209064.23999999</v>
      </c>
      <c r="J18" s="404">
        <f t="shared" ref="J18:J45" si="2">+G18-H18</f>
        <v>0</v>
      </c>
      <c r="M18" s="715">
        <f t="shared" ref="M18:M49" si="3">+H18-I18</f>
        <v>0</v>
      </c>
      <c r="N18" s="702">
        <v>325000</v>
      </c>
      <c r="O18" s="375">
        <f t="shared" ref="O18:O44" si="4">+H18-G18</f>
        <v>0</v>
      </c>
      <c r="P18" s="375">
        <v>109909064.23999999</v>
      </c>
    </row>
    <row r="19" spans="2:16" x14ac:dyDescent="0.2">
      <c r="B19" s="299"/>
      <c r="C19" s="334"/>
      <c r="D19" s="300" t="s">
        <v>345</v>
      </c>
      <c r="E19" s="401">
        <v>8138088353.4399996</v>
      </c>
      <c r="F19" s="404">
        <f>+P19</f>
        <v>-28745510.409999847</v>
      </c>
      <c r="G19" s="377">
        <f t="shared" si="1"/>
        <v>8109342843.0299997</v>
      </c>
      <c r="H19" s="377">
        <v>8109342843.0299997</v>
      </c>
      <c r="I19" s="377">
        <v>7974389145.1800003</v>
      </c>
      <c r="J19" s="404">
        <f t="shared" si="2"/>
        <v>0</v>
      </c>
      <c r="M19" s="712">
        <f t="shared" si="3"/>
        <v>134953697.84999943</v>
      </c>
      <c r="O19" s="375">
        <f t="shared" si="4"/>
        <v>0</v>
      </c>
      <c r="P19" s="375">
        <v>-28745510.409999847</v>
      </c>
    </row>
    <row r="20" spans="2:16" x14ac:dyDescent="0.2">
      <c r="B20" s="299"/>
      <c r="C20" s="903" t="s">
        <v>346</v>
      </c>
      <c r="D20" s="904"/>
      <c r="E20" s="401">
        <f>SUM(E21:E28)</f>
        <v>11147346336.59</v>
      </c>
      <c r="F20" s="401">
        <f>SUM(F21:F28)</f>
        <v>1723247126.0699992</v>
      </c>
      <c r="G20" s="377">
        <f>+E20+F20</f>
        <v>12870593462.66</v>
      </c>
      <c r="H20" s="401">
        <f t="shared" ref="H20:I20" si="5">SUM(H21:H28)</f>
        <v>12870593462.66</v>
      </c>
      <c r="I20" s="401">
        <f t="shared" si="5"/>
        <v>11571718432.189999</v>
      </c>
      <c r="J20" s="404">
        <f t="shared" si="2"/>
        <v>0</v>
      </c>
      <c r="M20" s="712">
        <f t="shared" si="3"/>
        <v>1298875030.4700012</v>
      </c>
      <c r="O20" s="375">
        <f t="shared" si="4"/>
        <v>0</v>
      </c>
      <c r="P20" s="375">
        <v>1723247126.0699997</v>
      </c>
    </row>
    <row r="21" spans="2:16" x14ac:dyDescent="0.2">
      <c r="B21" s="299"/>
      <c r="C21" s="334"/>
      <c r="D21" s="300" t="s">
        <v>347</v>
      </c>
      <c r="E21" s="401">
        <v>691213807.73000002</v>
      </c>
      <c r="F21" s="404">
        <f t="shared" ref="F21:F28" si="6">+P21</f>
        <v>1439769395.6199999</v>
      </c>
      <c r="G21" s="377">
        <f t="shared" ref="G21:G32" si="7">+E21+F21</f>
        <v>2130983203.3499999</v>
      </c>
      <c r="H21" s="377">
        <v>2130983203.3499999</v>
      </c>
      <c r="I21" s="377">
        <v>1899018879.5699999</v>
      </c>
      <c r="J21" s="404">
        <f t="shared" si="2"/>
        <v>0</v>
      </c>
      <c r="M21" s="712">
        <f t="shared" si="3"/>
        <v>231964323.77999997</v>
      </c>
      <c r="O21" s="375">
        <f t="shared" si="4"/>
        <v>0</v>
      </c>
      <c r="P21" s="375">
        <v>1439769395.6199999</v>
      </c>
    </row>
    <row r="22" spans="2:16" x14ac:dyDescent="0.2">
      <c r="B22" s="299"/>
      <c r="C22" s="334"/>
      <c r="D22" s="300" t="s">
        <v>348</v>
      </c>
      <c r="E22" s="404">
        <v>0</v>
      </c>
      <c r="F22" s="404">
        <f t="shared" si="6"/>
        <v>0</v>
      </c>
      <c r="G22" s="377">
        <f t="shared" si="7"/>
        <v>0</v>
      </c>
      <c r="H22" s="404">
        <v>0</v>
      </c>
      <c r="I22" s="404">
        <v>0</v>
      </c>
      <c r="J22" s="404">
        <f t="shared" si="2"/>
        <v>0</v>
      </c>
      <c r="M22" s="712">
        <f t="shared" si="3"/>
        <v>0</v>
      </c>
      <c r="O22" s="375">
        <f t="shared" si="4"/>
        <v>0</v>
      </c>
      <c r="P22" s="375">
        <v>0</v>
      </c>
    </row>
    <row r="23" spans="2:16" x14ac:dyDescent="0.2">
      <c r="B23" s="299"/>
      <c r="C23" s="334"/>
      <c r="D23" s="300" t="s">
        <v>349</v>
      </c>
      <c r="E23" s="404">
        <v>0</v>
      </c>
      <c r="F23" s="404">
        <f t="shared" si="6"/>
        <v>0</v>
      </c>
      <c r="G23" s="377">
        <f t="shared" si="7"/>
        <v>0</v>
      </c>
      <c r="H23" s="404">
        <v>0</v>
      </c>
      <c r="I23" s="404">
        <v>0</v>
      </c>
      <c r="J23" s="404">
        <f t="shared" si="2"/>
        <v>0</v>
      </c>
      <c r="M23" s="712">
        <f t="shared" si="3"/>
        <v>0</v>
      </c>
      <c r="O23" s="375">
        <f t="shared" si="4"/>
        <v>0</v>
      </c>
      <c r="P23" s="375">
        <v>0</v>
      </c>
    </row>
    <row r="24" spans="2:16" x14ac:dyDescent="0.2">
      <c r="B24" s="299"/>
      <c r="C24" s="334"/>
      <c r="D24" s="300" t="s">
        <v>350</v>
      </c>
      <c r="E24" s="401">
        <v>1011432578.5</v>
      </c>
      <c r="F24" s="404">
        <f t="shared" si="6"/>
        <v>539677668.11999989</v>
      </c>
      <c r="G24" s="377">
        <f t="shared" si="7"/>
        <v>1551110246.6199999</v>
      </c>
      <c r="H24" s="377">
        <v>1551110246.6199999</v>
      </c>
      <c r="I24" s="377">
        <f>1288452085.32+39028913.96</f>
        <v>1327480999.28</v>
      </c>
      <c r="J24" s="404">
        <f t="shared" si="2"/>
        <v>0</v>
      </c>
      <c r="M24" s="712">
        <f t="shared" si="3"/>
        <v>223629247.33999991</v>
      </c>
      <c r="O24" s="375">
        <f t="shared" si="4"/>
        <v>0</v>
      </c>
      <c r="P24" s="375">
        <v>539677668.11999989</v>
      </c>
    </row>
    <row r="25" spans="2:16" x14ac:dyDescent="0.2">
      <c r="B25" s="299"/>
      <c r="C25" s="334"/>
      <c r="D25" s="300" t="s">
        <v>351</v>
      </c>
      <c r="E25" s="404">
        <v>0</v>
      </c>
      <c r="F25" s="404">
        <f t="shared" si="6"/>
        <v>0</v>
      </c>
      <c r="G25" s="377">
        <f t="shared" si="7"/>
        <v>0</v>
      </c>
      <c r="H25" s="404">
        <v>0</v>
      </c>
      <c r="I25" s="404">
        <v>0</v>
      </c>
      <c r="J25" s="404">
        <f t="shared" si="2"/>
        <v>0</v>
      </c>
      <c r="M25" s="712">
        <f t="shared" si="3"/>
        <v>0</v>
      </c>
      <c r="O25" s="375">
        <f t="shared" si="4"/>
        <v>0</v>
      </c>
      <c r="P25" s="375">
        <v>0</v>
      </c>
    </row>
    <row r="26" spans="2:16" x14ac:dyDescent="0.2">
      <c r="B26" s="299"/>
      <c r="C26" s="334"/>
      <c r="D26" s="300" t="s">
        <v>352</v>
      </c>
      <c r="E26" s="404">
        <v>0</v>
      </c>
      <c r="F26" s="404">
        <f t="shared" si="6"/>
        <v>0</v>
      </c>
      <c r="G26" s="377">
        <f t="shared" si="7"/>
        <v>0</v>
      </c>
      <c r="H26" s="404">
        <v>0</v>
      </c>
      <c r="I26" s="404">
        <v>0</v>
      </c>
      <c r="J26" s="404">
        <f t="shared" si="2"/>
        <v>0</v>
      </c>
      <c r="M26" s="712">
        <f t="shared" si="3"/>
        <v>0</v>
      </c>
      <c r="O26" s="375">
        <f t="shared" si="4"/>
        <v>0</v>
      </c>
      <c r="P26" s="375">
        <v>0</v>
      </c>
    </row>
    <row r="27" spans="2:16" x14ac:dyDescent="0.2">
      <c r="B27" s="299"/>
      <c r="C27" s="334"/>
      <c r="D27" s="300" t="s">
        <v>353</v>
      </c>
      <c r="E27" s="401">
        <v>5087240985.7200003</v>
      </c>
      <c r="F27" s="404">
        <f t="shared" si="6"/>
        <v>1395950395.3699999</v>
      </c>
      <c r="G27" s="377">
        <f t="shared" si="7"/>
        <v>6483191381.0900002</v>
      </c>
      <c r="H27" s="377">
        <v>6483191381.0900002</v>
      </c>
      <c r="I27" s="377">
        <v>5978541063.7200003</v>
      </c>
      <c r="J27" s="404">
        <f t="shared" si="2"/>
        <v>0</v>
      </c>
      <c r="M27" s="712">
        <f t="shared" si="3"/>
        <v>504650317.36999989</v>
      </c>
      <c r="O27" s="375">
        <f t="shared" si="4"/>
        <v>0</v>
      </c>
      <c r="P27" s="375">
        <v>1395950395.3699999</v>
      </c>
    </row>
    <row r="28" spans="2:16" x14ac:dyDescent="0.2">
      <c r="B28" s="299"/>
      <c r="C28" s="334"/>
      <c r="D28" s="300" t="s">
        <v>354</v>
      </c>
      <c r="E28" s="401">
        <v>4357458964.6400003</v>
      </c>
      <c r="F28" s="404">
        <f t="shared" si="6"/>
        <v>-1652150333.0400004</v>
      </c>
      <c r="G28" s="377">
        <f t="shared" si="7"/>
        <v>2705308631.5999999</v>
      </c>
      <c r="H28" s="377">
        <v>2705308631.5999999</v>
      </c>
      <c r="I28" s="377">
        <v>2366677489.6199999</v>
      </c>
      <c r="J28" s="404">
        <f t="shared" si="2"/>
        <v>0</v>
      </c>
      <c r="M28" s="712">
        <f t="shared" si="3"/>
        <v>338631141.98000002</v>
      </c>
      <c r="O28" s="375">
        <f t="shared" si="4"/>
        <v>0</v>
      </c>
      <c r="P28" s="375">
        <v>-1652150333.0400004</v>
      </c>
    </row>
    <row r="29" spans="2:16" x14ac:dyDescent="0.2">
      <c r="B29" s="299"/>
      <c r="C29" s="903" t="s">
        <v>355</v>
      </c>
      <c r="D29" s="904"/>
      <c r="E29" s="401">
        <f>SUM(E30:E32)</f>
        <v>15718616914.99</v>
      </c>
      <c r="F29" s="401">
        <f>SUM(F30:F32)</f>
        <v>-635590085.69000006</v>
      </c>
      <c r="G29" s="377">
        <f t="shared" ref="G29:G41" si="8">+E29+F29</f>
        <v>15083026829.299999</v>
      </c>
      <c r="H29" s="401">
        <f t="shared" ref="H29:I29" si="9">SUM(H30:H32)</f>
        <v>15083026829.280001</v>
      </c>
      <c r="I29" s="401">
        <f t="shared" si="9"/>
        <v>15076843485.070002</v>
      </c>
      <c r="J29" s="404">
        <f t="shared" si="2"/>
        <v>1.9998550415039063E-2</v>
      </c>
      <c r="M29" s="712">
        <f t="shared" si="3"/>
        <v>6183344.2099990845</v>
      </c>
      <c r="O29" s="375">
        <f t="shared" si="4"/>
        <v>-1.9998550415039063E-2</v>
      </c>
      <c r="P29" s="375">
        <v>-635590085.70999908</v>
      </c>
    </row>
    <row r="30" spans="2:16" ht="28.5" x14ac:dyDescent="0.2">
      <c r="B30" s="299"/>
      <c r="C30" s="334"/>
      <c r="D30" s="300" t="s">
        <v>356</v>
      </c>
      <c r="E30" s="401">
        <v>15710222107.27</v>
      </c>
      <c r="F30" s="404">
        <v>-665313056.37</v>
      </c>
      <c r="G30" s="377">
        <f t="shared" si="7"/>
        <v>15044909050.9</v>
      </c>
      <c r="H30" s="377">
        <f>15329696584.18-284787533.3</f>
        <v>15044909050.880001</v>
      </c>
      <c r="I30" s="377">
        <f>15313138610.75-229525645.91-38703913.96</f>
        <v>15044909050.880001</v>
      </c>
      <c r="J30" s="404">
        <f t="shared" si="2"/>
        <v>1.9998550415039063E-2</v>
      </c>
      <c r="M30" s="715">
        <f t="shared" si="3"/>
        <v>0</v>
      </c>
      <c r="N30" s="702">
        <v>38703913.960000001</v>
      </c>
      <c r="O30" s="375">
        <f t="shared" si="4"/>
        <v>-1.9998550415039063E-2</v>
      </c>
      <c r="P30" s="375">
        <v>-665313056.38999939</v>
      </c>
    </row>
    <row r="31" spans="2:16" x14ac:dyDescent="0.2">
      <c r="B31" s="299"/>
      <c r="C31" s="334"/>
      <c r="D31" s="300" t="s">
        <v>357</v>
      </c>
      <c r="E31" s="401">
        <v>8394807.7200000007</v>
      </c>
      <c r="F31" s="404">
        <f t="shared" ref="F31:F32" si="10">+P31</f>
        <v>29722970.68</v>
      </c>
      <c r="G31" s="377">
        <f t="shared" si="7"/>
        <v>38117778.399999999</v>
      </c>
      <c r="H31" s="377">
        <v>38117778.399999999</v>
      </c>
      <c r="I31" s="377">
        <v>31934434.190000001</v>
      </c>
      <c r="J31" s="404">
        <f t="shared" si="2"/>
        <v>0</v>
      </c>
      <c r="M31" s="712">
        <f t="shared" si="3"/>
        <v>6183344.2099999972</v>
      </c>
      <c r="O31" s="375">
        <f t="shared" si="4"/>
        <v>0</v>
      </c>
      <c r="P31" s="375">
        <v>29722970.68</v>
      </c>
    </row>
    <row r="32" spans="2:16" x14ac:dyDescent="0.2">
      <c r="B32" s="299"/>
      <c r="C32" s="334"/>
      <c r="D32" s="300" t="s">
        <v>358</v>
      </c>
      <c r="E32" s="404">
        <v>0</v>
      </c>
      <c r="F32" s="404">
        <f t="shared" si="10"/>
        <v>0</v>
      </c>
      <c r="G32" s="377">
        <f t="shared" si="7"/>
        <v>0</v>
      </c>
      <c r="H32" s="404">
        <v>0</v>
      </c>
      <c r="I32" s="404">
        <v>0</v>
      </c>
      <c r="J32" s="404">
        <f t="shared" si="2"/>
        <v>0</v>
      </c>
      <c r="M32" s="712">
        <f t="shared" si="3"/>
        <v>0</v>
      </c>
      <c r="O32" s="375">
        <f t="shared" si="4"/>
        <v>0</v>
      </c>
      <c r="P32" s="375">
        <v>0</v>
      </c>
    </row>
    <row r="33" spans="1:16" x14ac:dyDescent="0.2">
      <c r="B33" s="299"/>
      <c r="C33" s="903" t="s">
        <v>359</v>
      </c>
      <c r="D33" s="904"/>
      <c r="E33" s="404">
        <f>+E34+E35</f>
        <v>0</v>
      </c>
      <c r="F33" s="404">
        <f>+F34+F35</f>
        <v>0</v>
      </c>
      <c r="G33" s="404">
        <f t="shared" ref="G33:G36" si="11">+E33+F33</f>
        <v>0</v>
      </c>
      <c r="H33" s="404">
        <f>+H34+H35</f>
        <v>0</v>
      </c>
      <c r="I33" s="404">
        <f>+I34+I35</f>
        <v>0</v>
      </c>
      <c r="J33" s="404">
        <f t="shared" si="2"/>
        <v>0</v>
      </c>
      <c r="M33" s="712">
        <f t="shared" si="3"/>
        <v>0</v>
      </c>
      <c r="O33" s="375">
        <f t="shared" si="4"/>
        <v>0</v>
      </c>
      <c r="P33" s="375">
        <v>0</v>
      </c>
    </row>
    <row r="34" spans="1:16" x14ac:dyDescent="0.2">
      <c r="B34" s="299"/>
      <c r="C34" s="334"/>
      <c r="D34" s="300" t="s">
        <v>360</v>
      </c>
      <c r="E34" s="404">
        <v>0</v>
      </c>
      <c r="F34" s="404">
        <f t="shared" ref="F34:F35" si="12">+P34</f>
        <v>0</v>
      </c>
      <c r="G34" s="404">
        <v>0</v>
      </c>
      <c r="H34" s="404">
        <v>0</v>
      </c>
      <c r="I34" s="404">
        <v>0</v>
      </c>
      <c r="J34" s="404">
        <f t="shared" si="2"/>
        <v>0</v>
      </c>
      <c r="M34" s="712">
        <f t="shared" si="3"/>
        <v>0</v>
      </c>
      <c r="O34" s="375">
        <f t="shared" si="4"/>
        <v>0</v>
      </c>
      <c r="P34" s="375">
        <v>0</v>
      </c>
    </row>
    <row r="35" spans="1:16" x14ac:dyDescent="0.2">
      <c r="B35" s="299"/>
      <c r="C35" s="334"/>
      <c r="D35" s="300" t="s">
        <v>361</v>
      </c>
      <c r="E35" s="404">
        <v>0</v>
      </c>
      <c r="F35" s="404">
        <f t="shared" si="12"/>
        <v>0</v>
      </c>
      <c r="G35" s="404">
        <v>0</v>
      </c>
      <c r="H35" s="404">
        <v>0</v>
      </c>
      <c r="I35" s="404">
        <v>0</v>
      </c>
      <c r="J35" s="404">
        <f t="shared" si="2"/>
        <v>0</v>
      </c>
      <c r="M35" s="712">
        <f t="shared" si="3"/>
        <v>0</v>
      </c>
      <c r="O35" s="375">
        <f t="shared" si="4"/>
        <v>0</v>
      </c>
      <c r="P35" s="375">
        <v>0</v>
      </c>
    </row>
    <row r="36" spans="1:16" x14ac:dyDescent="0.2">
      <c r="B36" s="299"/>
      <c r="C36" s="903" t="s">
        <v>362</v>
      </c>
      <c r="D36" s="904"/>
      <c r="E36" s="404">
        <f>SUM(E37:E40)</f>
        <v>0</v>
      </c>
      <c r="F36" s="404">
        <f>SUM(F37:F40)</f>
        <v>0</v>
      </c>
      <c r="G36" s="404">
        <f t="shared" si="11"/>
        <v>0</v>
      </c>
      <c r="H36" s="404">
        <f>SUM(H37:H40)</f>
        <v>0</v>
      </c>
      <c r="I36" s="404">
        <f>SUM(I37:I40)</f>
        <v>0</v>
      </c>
      <c r="J36" s="404">
        <f t="shared" si="2"/>
        <v>0</v>
      </c>
      <c r="M36" s="712">
        <f t="shared" si="3"/>
        <v>0</v>
      </c>
      <c r="O36" s="375">
        <f t="shared" si="4"/>
        <v>0</v>
      </c>
      <c r="P36" s="375">
        <v>0</v>
      </c>
    </row>
    <row r="37" spans="1:16" x14ac:dyDescent="0.2">
      <c r="B37" s="299"/>
      <c r="C37" s="334"/>
      <c r="D37" s="300" t="s">
        <v>363</v>
      </c>
      <c r="E37" s="404">
        <v>0</v>
      </c>
      <c r="F37" s="404">
        <f t="shared" ref="F37:F40" si="13">+P37</f>
        <v>0</v>
      </c>
      <c r="G37" s="404">
        <v>0</v>
      </c>
      <c r="H37" s="404">
        <v>0</v>
      </c>
      <c r="I37" s="404">
        <v>0</v>
      </c>
      <c r="J37" s="404">
        <f t="shared" si="2"/>
        <v>0</v>
      </c>
      <c r="M37" s="712">
        <f t="shared" si="3"/>
        <v>0</v>
      </c>
      <c r="O37" s="375">
        <f t="shared" si="4"/>
        <v>0</v>
      </c>
      <c r="P37" s="375">
        <v>0</v>
      </c>
    </row>
    <row r="38" spans="1:16" x14ac:dyDescent="0.2">
      <c r="B38" s="299"/>
      <c r="C38" s="334"/>
      <c r="D38" s="300" t="s">
        <v>364</v>
      </c>
      <c r="E38" s="404">
        <v>0</v>
      </c>
      <c r="F38" s="404">
        <f t="shared" si="13"/>
        <v>0</v>
      </c>
      <c r="G38" s="404">
        <v>0</v>
      </c>
      <c r="H38" s="404">
        <v>0</v>
      </c>
      <c r="I38" s="404">
        <v>0</v>
      </c>
      <c r="J38" s="404">
        <f t="shared" si="2"/>
        <v>0</v>
      </c>
      <c r="M38" s="712">
        <f t="shared" si="3"/>
        <v>0</v>
      </c>
      <c r="O38" s="375">
        <f t="shared" si="4"/>
        <v>0</v>
      </c>
      <c r="P38" s="375">
        <v>0</v>
      </c>
    </row>
    <row r="39" spans="1:16" x14ac:dyDescent="0.2">
      <c r="B39" s="299"/>
      <c r="C39" s="334"/>
      <c r="D39" s="300" t="s">
        <v>365</v>
      </c>
      <c r="E39" s="404">
        <v>0</v>
      </c>
      <c r="F39" s="404">
        <f t="shared" si="13"/>
        <v>0</v>
      </c>
      <c r="G39" s="404">
        <v>0</v>
      </c>
      <c r="H39" s="404">
        <v>0</v>
      </c>
      <c r="I39" s="404">
        <v>0</v>
      </c>
      <c r="J39" s="404">
        <f t="shared" si="2"/>
        <v>0</v>
      </c>
      <c r="M39" s="712">
        <f t="shared" si="3"/>
        <v>0</v>
      </c>
      <c r="O39" s="375">
        <f t="shared" si="4"/>
        <v>0</v>
      </c>
      <c r="P39" s="375">
        <v>0</v>
      </c>
    </row>
    <row r="40" spans="1:16" x14ac:dyDescent="0.2">
      <c r="B40" s="299"/>
      <c r="C40" s="334"/>
      <c r="D40" s="300" t="s">
        <v>366</v>
      </c>
      <c r="E40" s="404">
        <v>0</v>
      </c>
      <c r="F40" s="404">
        <f t="shared" si="13"/>
        <v>0</v>
      </c>
      <c r="G40" s="404">
        <v>0</v>
      </c>
      <c r="H40" s="404">
        <v>0</v>
      </c>
      <c r="I40" s="404">
        <v>0</v>
      </c>
      <c r="J40" s="404">
        <f t="shared" si="2"/>
        <v>0</v>
      </c>
      <c r="M40" s="712">
        <f t="shared" si="3"/>
        <v>0</v>
      </c>
      <c r="O40" s="375">
        <f t="shared" si="4"/>
        <v>0</v>
      </c>
      <c r="P40" s="375">
        <v>0</v>
      </c>
    </row>
    <row r="41" spans="1:16" x14ac:dyDescent="0.2">
      <c r="B41" s="299"/>
      <c r="C41" s="903" t="s">
        <v>367</v>
      </c>
      <c r="D41" s="904"/>
      <c r="E41" s="404">
        <f>+E42</f>
        <v>0</v>
      </c>
      <c r="F41" s="404">
        <f>+F42</f>
        <v>0</v>
      </c>
      <c r="G41" s="404">
        <f t="shared" si="8"/>
        <v>0</v>
      </c>
      <c r="H41" s="404">
        <f>+H42</f>
        <v>0</v>
      </c>
      <c r="I41" s="404">
        <f>+I42</f>
        <v>0</v>
      </c>
      <c r="J41" s="404">
        <f t="shared" si="2"/>
        <v>0</v>
      </c>
      <c r="M41" s="712">
        <f t="shared" si="3"/>
        <v>0</v>
      </c>
      <c r="O41" s="375">
        <f t="shared" si="4"/>
        <v>0</v>
      </c>
      <c r="P41" s="375">
        <v>0</v>
      </c>
    </row>
    <row r="42" spans="1:16" x14ac:dyDescent="0.2">
      <c r="B42" s="299"/>
      <c r="C42" s="334"/>
      <c r="D42" s="300" t="s">
        <v>368</v>
      </c>
      <c r="E42" s="404">
        <v>0</v>
      </c>
      <c r="F42" s="404">
        <f>+P42</f>
        <v>0</v>
      </c>
      <c r="G42" s="404">
        <f t="shared" ref="G42" si="14">+E42+F42</f>
        <v>0</v>
      </c>
      <c r="H42" s="404">
        <v>0</v>
      </c>
      <c r="I42" s="404">
        <v>0</v>
      </c>
      <c r="J42" s="404">
        <f t="shared" si="2"/>
        <v>0</v>
      </c>
      <c r="M42" s="712">
        <f t="shared" si="3"/>
        <v>0</v>
      </c>
      <c r="O42" s="375">
        <f t="shared" si="4"/>
        <v>0</v>
      </c>
      <c r="P42" s="375">
        <v>0</v>
      </c>
    </row>
    <row r="43" spans="1:16" ht="15" customHeight="1" x14ac:dyDescent="0.2">
      <c r="B43" s="905" t="s">
        <v>369</v>
      </c>
      <c r="C43" s="906"/>
      <c r="D43" s="907"/>
      <c r="E43" s="401">
        <v>5379927672.6999998</v>
      </c>
      <c r="F43" s="404">
        <f>+P43</f>
        <v>818251219.49000072</v>
      </c>
      <c r="G43" s="377">
        <f>+E43+F43</f>
        <v>6198178892.1900005</v>
      </c>
      <c r="H43" s="377">
        <f>+COG!G76</f>
        <v>6198178892.1900005</v>
      </c>
      <c r="I43" s="377">
        <f>+COG!H76</f>
        <v>5957714362.0900002</v>
      </c>
      <c r="J43" s="404">
        <f t="shared" si="2"/>
        <v>0</v>
      </c>
      <c r="M43" s="712">
        <f t="shared" si="3"/>
        <v>240464530.10000038</v>
      </c>
      <c r="O43" s="375">
        <f t="shared" si="4"/>
        <v>0</v>
      </c>
      <c r="P43" s="375">
        <v>818251219.49000072</v>
      </c>
    </row>
    <row r="44" spans="1:16" ht="15" customHeight="1" x14ac:dyDescent="0.2">
      <c r="B44" s="905" t="s">
        <v>370</v>
      </c>
      <c r="C44" s="906"/>
      <c r="D44" s="907"/>
      <c r="E44" s="401">
        <f>3368789072.28-600000000</f>
        <v>2768789072.2800002</v>
      </c>
      <c r="F44" s="404">
        <f>+P44</f>
        <v>722595685.54999971</v>
      </c>
      <c r="G44" s="377">
        <f>+E44+F44</f>
        <v>3491384757.8299999</v>
      </c>
      <c r="H44" s="377">
        <f>+COG!G81+COG!G82+COG!G83+COG!G84+COG!G85+COG!G86</f>
        <v>3491384757.8299999</v>
      </c>
      <c r="I44" s="377">
        <f>+COG!H81+COG!H82+COG!H83+COG!H84+COG!H85+COG!H86</f>
        <v>3491384757.8299999</v>
      </c>
      <c r="J44" s="404">
        <f t="shared" si="2"/>
        <v>0</v>
      </c>
      <c r="M44" s="712">
        <f t="shared" si="3"/>
        <v>0</v>
      </c>
      <c r="O44" s="375">
        <f t="shared" si="4"/>
        <v>0</v>
      </c>
      <c r="P44" s="375">
        <v>722595685.54999971</v>
      </c>
    </row>
    <row r="45" spans="1:16" ht="15.75" customHeight="1" x14ac:dyDescent="0.2">
      <c r="B45" s="905" t="s">
        <v>371</v>
      </c>
      <c r="C45" s="906"/>
      <c r="D45" s="907"/>
      <c r="E45" s="401">
        <v>600000000</v>
      </c>
      <c r="F45" s="377">
        <f>+CFG!E52</f>
        <v>22242077</v>
      </c>
      <c r="G45" s="377">
        <f>+CFG!F52</f>
        <v>622242077</v>
      </c>
      <c r="H45" s="377">
        <f>+CFG!G52</f>
        <v>622242077</v>
      </c>
      <c r="I45" s="377">
        <f>+CFG!H52</f>
        <v>622242077</v>
      </c>
      <c r="J45" s="404">
        <f t="shared" si="2"/>
        <v>0</v>
      </c>
      <c r="M45" s="712">
        <f t="shared" si="3"/>
        <v>0</v>
      </c>
      <c r="O45" s="375">
        <f t="shared" ref="O45" si="15">+G45-H45</f>
        <v>0</v>
      </c>
      <c r="P45" s="375">
        <v>0</v>
      </c>
    </row>
    <row r="46" spans="1:16" x14ac:dyDescent="0.2">
      <c r="B46" s="335"/>
      <c r="C46" s="336"/>
      <c r="D46" s="337"/>
      <c r="E46" s="402"/>
      <c r="F46" s="403"/>
      <c r="G46" s="403"/>
      <c r="H46" s="403"/>
      <c r="I46" s="403"/>
      <c r="J46" s="403"/>
      <c r="M46" s="712">
        <f t="shared" si="3"/>
        <v>0</v>
      </c>
    </row>
    <row r="47" spans="1:16" s="294" customFormat="1" ht="15" x14ac:dyDescent="0.25">
      <c r="A47" s="293"/>
      <c r="B47" s="309"/>
      <c r="C47" s="908" t="s">
        <v>240</v>
      </c>
      <c r="D47" s="909"/>
      <c r="E47" s="390">
        <f>+E17+E20+E29+E33+E36+E41+E43+E44+E45</f>
        <v>43763068349.999992</v>
      </c>
      <c r="F47" s="390">
        <f>+F17+F20+F29+F33+F36+F41+F43+F44+F45</f>
        <v>2731909576.25</v>
      </c>
      <c r="G47" s="390">
        <f t="shared" ref="G47:J47" si="16">+G17+G20+G29+G33+G36+G41+G43+G44+G45</f>
        <v>46494977926.25</v>
      </c>
      <c r="H47" s="390">
        <f t="shared" si="16"/>
        <v>46494977926.230003</v>
      </c>
      <c r="I47" s="390">
        <f t="shared" si="16"/>
        <v>44814501323.600006</v>
      </c>
      <c r="J47" s="405">
        <f t="shared" si="16"/>
        <v>1.9998550415039063E-2</v>
      </c>
      <c r="K47" s="293"/>
      <c r="M47" s="712">
        <f t="shared" si="3"/>
        <v>1680476602.6299973</v>
      </c>
      <c r="O47" s="675"/>
      <c r="P47" s="675"/>
    </row>
    <row r="48" spans="1:16" x14ac:dyDescent="0.2">
      <c r="B48" s="17"/>
      <c r="C48" s="17"/>
      <c r="D48" s="17"/>
      <c r="E48" s="362"/>
      <c r="F48" s="362"/>
      <c r="G48" s="362"/>
      <c r="H48" s="362"/>
      <c r="I48" s="362"/>
      <c r="J48" s="362"/>
      <c r="M48" s="712">
        <f t="shared" si="3"/>
        <v>0</v>
      </c>
    </row>
    <row r="49" spans="2:13" x14ac:dyDescent="0.2">
      <c r="B49" s="17"/>
      <c r="C49" s="17"/>
      <c r="D49" s="17"/>
      <c r="E49" s="16" t="str">
        <f>IF('E A Eje Presup Egresos CA'!D67='Gto Categoria Programatica'!E47," ","ERROR")</f>
        <v xml:space="preserve"> </v>
      </c>
      <c r="F49" s="16" t="str">
        <f>IF('E A Eje Presup Egresos CA'!E67='Gto Categoria Programatica'!F47," ","ERROR")</f>
        <v xml:space="preserve"> </v>
      </c>
      <c r="G49" s="16" t="str">
        <f>IF('E A Eje Presup Egresos CA'!F67='Gto Categoria Programatica'!G47," ","ERROR")</f>
        <v xml:space="preserve"> </v>
      </c>
      <c r="H49" s="16" t="str">
        <f>IF('E A Eje Presup Egresos CA'!G67='Gto Categoria Programatica'!H47," ","ERROR")</f>
        <v xml:space="preserve"> </v>
      </c>
      <c r="I49" s="16" t="str">
        <f>IF('E A Eje Presup Egresos CA'!H67='Gto Categoria Programatica'!I47," ","ERROR")</f>
        <v xml:space="preserve"> </v>
      </c>
      <c r="J49" s="456" t="str">
        <f>IF('E A Eje Presup Egresos CA'!I67='Gto Categoria Programatica'!J47," ","ERROR")</f>
        <v>ERROR</v>
      </c>
      <c r="M49" s="712" t="e">
        <f t="shared" si="3"/>
        <v>#VALUE!</v>
      </c>
    </row>
    <row r="50" spans="2:13" x14ac:dyDescent="0.2">
      <c r="E50" s="454"/>
      <c r="F50" s="454"/>
      <c r="G50" s="454"/>
      <c r="H50" s="454"/>
      <c r="I50" s="454"/>
      <c r="J50" s="454"/>
    </row>
    <row r="51" spans="2:13" x14ac:dyDescent="0.2">
      <c r="E51" s="516"/>
      <c r="F51" s="516"/>
      <c r="G51" s="516"/>
      <c r="H51" s="516"/>
      <c r="I51" s="516"/>
      <c r="J51" s="516"/>
      <c r="K51" s="516"/>
    </row>
    <row r="52" spans="2:13" x14ac:dyDescent="0.2">
      <c r="E52" s="517"/>
      <c r="F52" s="517"/>
      <c r="G52" s="517"/>
      <c r="H52" s="517"/>
      <c r="I52" s="517"/>
      <c r="J52" s="517"/>
      <c r="K52" s="517"/>
    </row>
    <row r="53" spans="2:13" x14ac:dyDescent="0.2">
      <c r="E53" s="409"/>
      <c r="F53" s="409"/>
      <c r="G53" s="409"/>
      <c r="H53" s="409"/>
      <c r="I53" s="409"/>
      <c r="J53" s="409"/>
      <c r="K53" s="409"/>
    </row>
    <row r="54" spans="2:13" x14ac:dyDescent="0.2">
      <c r="E54" s="379"/>
      <c r="F54" s="517"/>
      <c r="G54" s="517"/>
      <c r="H54" s="379"/>
      <c r="I54" s="379"/>
      <c r="J54" s="379"/>
    </row>
    <row r="55" spans="2:13" x14ac:dyDescent="0.2">
      <c r="H55" s="397"/>
      <c r="I55" s="397"/>
    </row>
    <row r="56" spans="2:13" x14ac:dyDescent="0.2">
      <c r="E56" s="363"/>
      <c r="F56" s="363"/>
      <c r="G56" s="363"/>
      <c r="H56" s="397"/>
      <c r="I56" s="363"/>
    </row>
    <row r="58" spans="2:13" x14ac:dyDescent="0.2">
      <c r="H58" s="397"/>
      <c r="I58" s="397"/>
    </row>
    <row r="60" spans="2:13" x14ac:dyDescent="0.2">
      <c r="H60" s="397"/>
      <c r="I60" s="397"/>
    </row>
    <row r="67" spans="9:9" x14ac:dyDescent="0.2">
      <c r="I67" s="363"/>
    </row>
    <row r="68" spans="9:9" x14ac:dyDescent="0.2">
      <c r="I68" s="363"/>
    </row>
  </sheetData>
  <mergeCells count="18">
    <mergeCell ref="C36:D36"/>
    <mergeCell ref="B8:J8"/>
    <mergeCell ref="B9:J9"/>
    <mergeCell ref="B10:J10"/>
    <mergeCell ref="B11:J11"/>
    <mergeCell ref="B13:D15"/>
    <mergeCell ref="E13:I13"/>
    <mergeCell ref="J13:J14"/>
    <mergeCell ref="B16:D16"/>
    <mergeCell ref="C17:D17"/>
    <mergeCell ref="C20:D20"/>
    <mergeCell ref="C29:D29"/>
    <mergeCell ref="C33:D33"/>
    <mergeCell ref="C41:D41"/>
    <mergeCell ref="B43:D43"/>
    <mergeCell ref="B44:D44"/>
    <mergeCell ref="B45:D45"/>
    <mergeCell ref="C47:D47"/>
  </mergeCells>
  <pageMargins left="0.56999999999999995" right="0.7" top="0.77" bottom="0.75" header="0.3" footer="0.3"/>
  <pageSetup scale="61" fitToHeight="0" orientation="landscape" r:id="rId1"/>
  <ignoredErrors>
    <ignoredError sqref="G29 G41" formula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136"/>
  <sheetViews>
    <sheetView workbookViewId="0">
      <selection sqref="A1:E137"/>
    </sheetView>
  </sheetViews>
  <sheetFormatPr baseColWidth="10" defaultRowHeight="14.25" x14ac:dyDescent="0.2"/>
  <cols>
    <col min="1" max="1" width="1.7109375" style="266" customWidth="1"/>
    <col min="2" max="2" width="92.5703125" style="266" customWidth="1"/>
    <col min="3" max="3" width="19.85546875" style="266" customWidth="1"/>
    <col min="4" max="4" width="18.42578125" style="266" customWidth="1"/>
    <col min="5" max="5" width="1.28515625" style="17" customWidth="1"/>
    <col min="6" max="16384" width="11.42578125" style="266"/>
  </cols>
  <sheetData>
    <row r="7" spans="1:4" ht="15" thickBot="1" x14ac:dyDescent="0.25">
      <c r="A7" s="17"/>
      <c r="B7" s="17"/>
      <c r="C7" s="17"/>
      <c r="D7" s="17"/>
    </row>
    <row r="8" spans="1:4" ht="15" x14ac:dyDescent="0.2">
      <c r="A8" s="17"/>
      <c r="B8" s="913" t="str">
        <f>+'Gto Categoria Programatica'!B8:J8</f>
        <v>Cuenta Pública 2016</v>
      </c>
      <c r="C8" s="914"/>
      <c r="D8" s="915"/>
    </row>
    <row r="9" spans="1:4" ht="15" x14ac:dyDescent="0.2">
      <c r="A9" s="17"/>
      <c r="B9" s="916" t="s">
        <v>389</v>
      </c>
      <c r="C9" s="917"/>
      <c r="D9" s="918"/>
    </row>
    <row r="10" spans="1:4" ht="15.75" thickBot="1" x14ac:dyDescent="0.25">
      <c r="A10" s="17"/>
      <c r="B10" s="919" t="s">
        <v>383</v>
      </c>
      <c r="C10" s="920"/>
      <c r="D10" s="921"/>
    </row>
    <row r="11" spans="1:4" ht="15" thickBot="1" x14ac:dyDescent="0.25">
      <c r="A11" s="17"/>
      <c r="B11" s="922" t="s">
        <v>384</v>
      </c>
      <c r="C11" s="924" t="s">
        <v>385</v>
      </c>
      <c r="D11" s="925"/>
    </row>
    <row r="12" spans="1:4" ht="29.25" thickBot="1" x14ac:dyDescent="0.25">
      <c r="A12" s="17"/>
      <c r="B12" s="923"/>
      <c r="C12" s="341" t="s">
        <v>386</v>
      </c>
      <c r="D12" s="341" t="s">
        <v>387</v>
      </c>
    </row>
    <row r="13" spans="1:4" ht="15" thickBot="1" x14ac:dyDescent="0.25">
      <c r="A13" s="17"/>
      <c r="B13" s="632"/>
      <c r="C13" s="341"/>
      <c r="D13" s="341"/>
    </row>
    <row r="14" spans="1:4" ht="15" thickBot="1" x14ac:dyDescent="0.25">
      <c r="A14" s="17"/>
      <c r="B14" s="414" t="s">
        <v>615</v>
      </c>
      <c r="C14" s="415" t="s">
        <v>665</v>
      </c>
      <c r="D14" s="415">
        <v>103883787</v>
      </c>
    </row>
    <row r="15" spans="1:4" ht="15" thickBot="1" x14ac:dyDescent="0.25">
      <c r="A15" s="17"/>
      <c r="B15" s="414" t="s">
        <v>616</v>
      </c>
      <c r="C15" s="415" t="s">
        <v>665</v>
      </c>
      <c r="D15" s="415">
        <v>103883833</v>
      </c>
    </row>
    <row r="16" spans="1:4" ht="15" thickBot="1" x14ac:dyDescent="0.25">
      <c r="A16" s="17"/>
      <c r="B16" s="414" t="s">
        <v>617</v>
      </c>
      <c r="C16" s="415" t="s">
        <v>665</v>
      </c>
      <c r="D16" s="415">
        <v>103883949</v>
      </c>
    </row>
    <row r="17" spans="1:4" ht="15" thickBot="1" x14ac:dyDescent="0.25">
      <c r="A17" s="17"/>
      <c r="B17" s="414" t="s">
        <v>618</v>
      </c>
      <c r="C17" s="415" t="s">
        <v>665</v>
      </c>
      <c r="D17" s="415">
        <v>104128540</v>
      </c>
    </row>
    <row r="18" spans="1:4" ht="15" thickBot="1" x14ac:dyDescent="0.25">
      <c r="A18" s="17"/>
      <c r="B18" s="414" t="s">
        <v>619</v>
      </c>
      <c r="C18" s="415" t="s">
        <v>665</v>
      </c>
      <c r="D18" s="415">
        <v>104183908</v>
      </c>
    </row>
    <row r="19" spans="1:4" ht="15" thickBot="1" x14ac:dyDescent="0.25">
      <c r="A19" s="17"/>
      <c r="B19" s="414" t="s">
        <v>620</v>
      </c>
      <c r="C19" s="415" t="s">
        <v>665</v>
      </c>
      <c r="D19" s="415">
        <v>104346343</v>
      </c>
    </row>
    <row r="20" spans="1:4" ht="24.75" thickBot="1" x14ac:dyDescent="0.25">
      <c r="A20" s="17"/>
      <c r="B20" s="414" t="s">
        <v>621</v>
      </c>
      <c r="C20" s="415" t="s">
        <v>665</v>
      </c>
      <c r="D20" s="415">
        <v>104346084</v>
      </c>
    </row>
    <row r="21" spans="1:4" ht="15" thickBot="1" x14ac:dyDescent="0.25">
      <c r="A21" s="17"/>
      <c r="B21" s="414" t="s">
        <v>622</v>
      </c>
      <c r="C21" s="415" t="s">
        <v>665</v>
      </c>
      <c r="D21" s="415">
        <v>104345940</v>
      </c>
    </row>
    <row r="22" spans="1:4" ht="15" thickBot="1" x14ac:dyDescent="0.25">
      <c r="A22" s="17"/>
      <c r="B22" s="414" t="s">
        <v>623</v>
      </c>
      <c r="C22" s="415" t="s">
        <v>665</v>
      </c>
      <c r="D22" s="415">
        <v>104443276</v>
      </c>
    </row>
    <row r="23" spans="1:4" ht="24.75" thickBot="1" x14ac:dyDescent="0.25">
      <c r="A23" s="17"/>
      <c r="B23" s="414" t="s">
        <v>624</v>
      </c>
      <c r="C23" s="415" t="s">
        <v>665</v>
      </c>
      <c r="D23" s="415">
        <v>104443675</v>
      </c>
    </row>
    <row r="24" spans="1:4" ht="15" thickBot="1" x14ac:dyDescent="0.25">
      <c r="A24" s="17"/>
      <c r="B24" s="414" t="s">
        <v>625</v>
      </c>
      <c r="C24" s="415" t="s">
        <v>665</v>
      </c>
      <c r="D24" s="415">
        <v>104710487</v>
      </c>
    </row>
    <row r="25" spans="1:4" ht="15" thickBot="1" x14ac:dyDescent="0.25">
      <c r="A25" s="17"/>
      <c r="B25" s="414" t="s">
        <v>626</v>
      </c>
      <c r="C25" s="415" t="s">
        <v>665</v>
      </c>
      <c r="D25" s="415">
        <v>104710754</v>
      </c>
    </row>
    <row r="26" spans="1:4" ht="15" thickBot="1" x14ac:dyDescent="0.25">
      <c r="A26" s="17"/>
      <c r="B26" s="414" t="s">
        <v>627</v>
      </c>
      <c r="C26" s="415" t="s">
        <v>665</v>
      </c>
      <c r="D26" s="415">
        <v>104710916</v>
      </c>
    </row>
    <row r="27" spans="1:4" ht="15" thickBot="1" x14ac:dyDescent="0.25">
      <c r="A27" s="17"/>
      <c r="B27" s="414" t="s">
        <v>628</v>
      </c>
      <c r="C27" s="415" t="s">
        <v>665</v>
      </c>
      <c r="D27" s="415">
        <v>104711378</v>
      </c>
    </row>
    <row r="28" spans="1:4" ht="15" thickBot="1" x14ac:dyDescent="0.25">
      <c r="A28" s="17"/>
      <c r="B28" s="414" t="s">
        <v>629</v>
      </c>
      <c r="C28" s="415" t="s">
        <v>665</v>
      </c>
      <c r="D28" s="415">
        <v>104708547</v>
      </c>
    </row>
    <row r="29" spans="1:4" ht="15" thickBot="1" x14ac:dyDescent="0.25">
      <c r="A29" s="17"/>
      <c r="B29" s="414" t="s">
        <v>630</v>
      </c>
      <c r="C29" s="415" t="s">
        <v>665</v>
      </c>
      <c r="D29" s="415">
        <v>104710134</v>
      </c>
    </row>
    <row r="30" spans="1:4" ht="15" thickBot="1" x14ac:dyDescent="0.25">
      <c r="A30" s="17"/>
      <c r="B30" s="414" t="s">
        <v>631</v>
      </c>
      <c r="C30" s="415" t="s">
        <v>665</v>
      </c>
      <c r="D30" s="415">
        <v>104710355</v>
      </c>
    </row>
    <row r="31" spans="1:4" ht="15" thickBot="1" x14ac:dyDescent="0.25">
      <c r="A31" s="17"/>
      <c r="B31" s="414" t="s">
        <v>632</v>
      </c>
      <c r="C31" s="415" t="s">
        <v>665</v>
      </c>
      <c r="D31" s="415">
        <v>104711181</v>
      </c>
    </row>
    <row r="32" spans="1:4" ht="15" thickBot="1" x14ac:dyDescent="0.25">
      <c r="A32" s="17"/>
      <c r="B32" s="414" t="s">
        <v>633</v>
      </c>
      <c r="C32" s="415" t="s">
        <v>665</v>
      </c>
      <c r="D32" s="415">
        <v>104735897</v>
      </c>
    </row>
    <row r="33" spans="1:4" ht="15" thickBot="1" x14ac:dyDescent="0.25">
      <c r="A33" s="17"/>
      <c r="B33" s="414" t="s">
        <v>634</v>
      </c>
      <c r="C33" s="415" t="s">
        <v>665</v>
      </c>
      <c r="D33" s="415">
        <v>104898850</v>
      </c>
    </row>
    <row r="34" spans="1:4" ht="15" thickBot="1" x14ac:dyDescent="0.25">
      <c r="A34" s="17"/>
      <c r="B34" s="414" t="s">
        <v>635</v>
      </c>
      <c r="C34" s="415" t="s">
        <v>665</v>
      </c>
      <c r="D34" s="415">
        <v>105162912</v>
      </c>
    </row>
    <row r="35" spans="1:4" ht="15" thickBot="1" x14ac:dyDescent="0.25">
      <c r="A35" s="17"/>
      <c r="B35" s="414" t="s">
        <v>636</v>
      </c>
      <c r="C35" s="415" t="s">
        <v>665</v>
      </c>
      <c r="D35" s="415">
        <v>105213630</v>
      </c>
    </row>
    <row r="36" spans="1:4" ht="24.75" thickBot="1" x14ac:dyDescent="0.25">
      <c r="A36" s="17"/>
      <c r="B36" s="414" t="s">
        <v>637</v>
      </c>
      <c r="C36" s="415" t="s">
        <v>665</v>
      </c>
      <c r="D36" s="415">
        <v>105214157</v>
      </c>
    </row>
    <row r="37" spans="1:4" ht="15" thickBot="1" x14ac:dyDescent="0.25">
      <c r="A37" s="17"/>
      <c r="B37" s="414" t="s">
        <v>709</v>
      </c>
      <c r="C37" s="415" t="s">
        <v>665</v>
      </c>
      <c r="D37" s="415">
        <v>105350549</v>
      </c>
    </row>
    <row r="38" spans="1:4" ht="15" thickBot="1" x14ac:dyDescent="0.25">
      <c r="A38" s="17"/>
      <c r="B38" s="414" t="s">
        <v>710</v>
      </c>
      <c r="C38" s="415" t="s">
        <v>665</v>
      </c>
      <c r="D38" s="415">
        <v>106168116</v>
      </c>
    </row>
    <row r="39" spans="1:4" ht="15" thickBot="1" x14ac:dyDescent="0.25">
      <c r="A39" s="17"/>
      <c r="B39" s="414" t="s">
        <v>711</v>
      </c>
      <c r="C39" s="415" t="s">
        <v>665</v>
      </c>
      <c r="D39" s="415">
        <v>106509576</v>
      </c>
    </row>
    <row r="40" spans="1:4" ht="15" thickBot="1" x14ac:dyDescent="0.25">
      <c r="A40" s="17"/>
      <c r="B40" s="414" t="s">
        <v>712</v>
      </c>
      <c r="C40" s="415" t="s">
        <v>665</v>
      </c>
      <c r="D40" s="415">
        <v>106602568</v>
      </c>
    </row>
    <row r="41" spans="1:4" ht="15" thickBot="1" x14ac:dyDescent="0.25">
      <c r="A41" s="17"/>
      <c r="B41" s="414" t="s">
        <v>713</v>
      </c>
      <c r="C41" s="415" t="s">
        <v>665</v>
      </c>
      <c r="D41" s="415">
        <v>106668542</v>
      </c>
    </row>
    <row r="42" spans="1:4" ht="15" thickBot="1" x14ac:dyDescent="0.25">
      <c r="A42" s="17"/>
      <c r="B42" s="414" t="s">
        <v>761</v>
      </c>
      <c r="C42" s="415" t="s">
        <v>665</v>
      </c>
      <c r="D42" s="415">
        <v>106928625</v>
      </c>
    </row>
    <row r="43" spans="1:4" ht="15" thickBot="1" x14ac:dyDescent="0.25">
      <c r="A43" s="17"/>
      <c r="B43" s="414" t="s">
        <v>762</v>
      </c>
      <c r="C43" s="415" t="s">
        <v>665</v>
      </c>
      <c r="D43" s="415">
        <v>107168519</v>
      </c>
    </row>
    <row r="44" spans="1:4" ht="15" thickBot="1" x14ac:dyDescent="0.25">
      <c r="A44" s="17"/>
      <c r="B44" s="414" t="s">
        <v>763</v>
      </c>
      <c r="C44" s="415" t="s">
        <v>665</v>
      </c>
      <c r="D44" s="415">
        <v>108502595</v>
      </c>
    </row>
    <row r="45" spans="1:4" ht="15" thickBot="1" x14ac:dyDescent="0.25">
      <c r="A45" s="17"/>
      <c r="B45" s="414" t="s">
        <v>821</v>
      </c>
      <c r="C45" s="415" t="s">
        <v>665</v>
      </c>
      <c r="D45" s="415">
        <v>109661298</v>
      </c>
    </row>
    <row r="46" spans="1:4" ht="15" thickBot="1" x14ac:dyDescent="0.25">
      <c r="A46" s="17"/>
      <c r="B46" s="414" t="s">
        <v>841</v>
      </c>
      <c r="C46" s="415" t="s">
        <v>665</v>
      </c>
      <c r="D46" s="415">
        <v>109661255</v>
      </c>
    </row>
    <row r="47" spans="1:4" ht="15" thickBot="1" x14ac:dyDescent="0.25">
      <c r="A47" s="17"/>
      <c r="B47" s="414" t="s">
        <v>818</v>
      </c>
      <c r="C47" s="415" t="s">
        <v>665</v>
      </c>
      <c r="D47" s="415">
        <v>109734341</v>
      </c>
    </row>
    <row r="48" spans="1:4" ht="15" thickBot="1" x14ac:dyDescent="0.25">
      <c r="A48" s="17"/>
      <c r="B48" s="414" t="s">
        <v>842</v>
      </c>
      <c r="C48" s="415" t="s">
        <v>665</v>
      </c>
      <c r="D48" s="415">
        <v>109834834</v>
      </c>
    </row>
    <row r="49" spans="1:4" ht="24.75" thickBot="1" x14ac:dyDescent="0.25">
      <c r="A49" s="17"/>
      <c r="B49" s="414" t="s">
        <v>843</v>
      </c>
      <c r="C49" s="415" t="s">
        <v>665</v>
      </c>
      <c r="D49" s="415">
        <v>108861994</v>
      </c>
    </row>
    <row r="50" spans="1:4" ht="24.75" thickBot="1" x14ac:dyDescent="0.25">
      <c r="A50" s="17"/>
      <c r="B50" s="414" t="s">
        <v>844</v>
      </c>
      <c r="C50" s="415" t="s">
        <v>665</v>
      </c>
      <c r="D50" s="415">
        <v>108862052</v>
      </c>
    </row>
    <row r="51" spans="1:4" ht="24.75" thickBot="1" x14ac:dyDescent="0.25">
      <c r="A51" s="17"/>
      <c r="B51" s="414" t="s">
        <v>845</v>
      </c>
      <c r="C51" s="415" t="s">
        <v>665</v>
      </c>
      <c r="D51" s="415">
        <v>108883998</v>
      </c>
    </row>
    <row r="52" spans="1:4" ht="24.75" thickBot="1" x14ac:dyDescent="0.25">
      <c r="A52" s="17"/>
      <c r="B52" s="414" t="s">
        <v>846</v>
      </c>
      <c r="C52" s="415" t="s">
        <v>665</v>
      </c>
      <c r="D52" s="415">
        <v>108883602</v>
      </c>
    </row>
    <row r="53" spans="1:4" ht="15" thickBot="1" x14ac:dyDescent="0.25">
      <c r="A53" s="17"/>
      <c r="B53" s="414" t="s">
        <v>607</v>
      </c>
      <c r="C53" s="415" t="s">
        <v>408</v>
      </c>
      <c r="D53" s="415">
        <v>418149151</v>
      </c>
    </row>
    <row r="54" spans="1:4" ht="15" thickBot="1" x14ac:dyDescent="0.25">
      <c r="A54" s="17"/>
      <c r="B54" s="414" t="s">
        <v>638</v>
      </c>
      <c r="C54" s="415" t="s">
        <v>408</v>
      </c>
      <c r="D54" s="415">
        <v>416664687</v>
      </c>
    </row>
    <row r="55" spans="1:4" ht="15" thickBot="1" x14ac:dyDescent="0.25">
      <c r="A55" s="17"/>
      <c r="B55" s="414" t="s">
        <v>639</v>
      </c>
      <c r="C55" s="415" t="s">
        <v>408</v>
      </c>
      <c r="D55" s="415">
        <v>421752319</v>
      </c>
    </row>
    <row r="56" spans="1:4" ht="15" thickBot="1" x14ac:dyDescent="0.25">
      <c r="A56" s="17"/>
      <c r="B56" s="414" t="s">
        <v>640</v>
      </c>
      <c r="C56" s="415" t="s">
        <v>408</v>
      </c>
      <c r="D56" s="415">
        <v>421752328</v>
      </c>
    </row>
    <row r="57" spans="1:4" ht="15" thickBot="1" x14ac:dyDescent="0.25">
      <c r="A57" s="17"/>
      <c r="B57" s="414" t="s">
        <v>641</v>
      </c>
      <c r="C57" s="415" t="s">
        <v>408</v>
      </c>
      <c r="D57" s="415">
        <v>418149227</v>
      </c>
    </row>
    <row r="58" spans="1:4" ht="15" thickBot="1" x14ac:dyDescent="0.25">
      <c r="A58" s="17"/>
      <c r="B58" s="414" t="s">
        <v>642</v>
      </c>
      <c r="C58" s="415" t="s">
        <v>408</v>
      </c>
      <c r="D58" s="415">
        <v>418149218</v>
      </c>
    </row>
    <row r="59" spans="1:4" ht="24.75" thickBot="1" x14ac:dyDescent="0.25">
      <c r="A59" s="17"/>
      <c r="B59" s="414" t="s">
        <v>643</v>
      </c>
      <c r="C59" s="415" t="s">
        <v>408</v>
      </c>
      <c r="D59" s="415">
        <v>421752364</v>
      </c>
    </row>
    <row r="60" spans="1:4" ht="15" thickBot="1" x14ac:dyDescent="0.25">
      <c r="A60" s="17"/>
      <c r="B60" s="414" t="s">
        <v>644</v>
      </c>
      <c r="C60" s="415" t="s">
        <v>408</v>
      </c>
      <c r="D60" s="415">
        <v>427839771</v>
      </c>
    </row>
    <row r="61" spans="1:4" ht="15" thickBot="1" x14ac:dyDescent="0.25">
      <c r="A61" s="17"/>
      <c r="B61" s="414" t="s">
        <v>645</v>
      </c>
      <c r="C61" s="415" t="s">
        <v>408</v>
      </c>
      <c r="D61" s="415">
        <v>427839810</v>
      </c>
    </row>
    <row r="62" spans="1:4" ht="15" thickBot="1" x14ac:dyDescent="0.25">
      <c r="A62" s="17"/>
      <c r="B62" s="414" t="s">
        <v>646</v>
      </c>
      <c r="C62" s="415" t="s">
        <v>408</v>
      </c>
      <c r="D62" s="415">
        <v>427839801</v>
      </c>
    </row>
    <row r="63" spans="1:4" ht="15" thickBot="1" x14ac:dyDescent="0.25">
      <c r="A63" s="17"/>
      <c r="B63" s="414" t="s">
        <v>647</v>
      </c>
      <c r="C63" s="415" t="s">
        <v>408</v>
      </c>
      <c r="D63" s="415">
        <v>427839799</v>
      </c>
    </row>
    <row r="64" spans="1:4" ht="15" thickBot="1" x14ac:dyDescent="0.25">
      <c r="A64" s="17"/>
      <c r="B64" s="414" t="s">
        <v>648</v>
      </c>
      <c r="C64" s="415" t="s">
        <v>408</v>
      </c>
      <c r="D64" s="415">
        <v>427839780</v>
      </c>
    </row>
    <row r="65" spans="1:4" ht="15" thickBot="1" x14ac:dyDescent="0.25">
      <c r="A65" s="17"/>
      <c r="B65" s="414" t="s">
        <v>649</v>
      </c>
      <c r="C65" s="415" t="s">
        <v>408</v>
      </c>
      <c r="D65" s="415">
        <v>427839829</v>
      </c>
    </row>
    <row r="66" spans="1:4" ht="15" thickBot="1" x14ac:dyDescent="0.25">
      <c r="A66" s="17"/>
      <c r="B66" s="414" t="s">
        <v>650</v>
      </c>
      <c r="C66" s="415" t="s">
        <v>408</v>
      </c>
      <c r="D66" s="415">
        <v>427839847</v>
      </c>
    </row>
    <row r="67" spans="1:4" ht="15" thickBot="1" x14ac:dyDescent="0.25">
      <c r="A67" s="17"/>
      <c r="B67" s="414" t="s">
        <v>714</v>
      </c>
      <c r="C67" s="415" t="s">
        <v>408</v>
      </c>
      <c r="D67" s="415">
        <v>431066819</v>
      </c>
    </row>
    <row r="68" spans="1:4" ht="15" thickBot="1" x14ac:dyDescent="0.25">
      <c r="A68" s="17"/>
      <c r="B68" s="414" t="s">
        <v>715</v>
      </c>
      <c r="C68" s="415" t="s">
        <v>408</v>
      </c>
      <c r="D68" s="415">
        <v>431066828</v>
      </c>
    </row>
    <row r="69" spans="1:4" ht="15" thickBot="1" x14ac:dyDescent="0.25">
      <c r="A69" s="17"/>
      <c r="B69" s="414" t="s">
        <v>716</v>
      </c>
      <c r="C69" s="415" t="s">
        <v>408</v>
      </c>
      <c r="D69" s="415">
        <v>431066837</v>
      </c>
    </row>
    <row r="70" spans="1:4" ht="24.75" thickBot="1" x14ac:dyDescent="0.25">
      <c r="A70" s="17"/>
      <c r="B70" s="414" t="s">
        <v>717</v>
      </c>
      <c r="C70" s="415" t="s">
        <v>408</v>
      </c>
      <c r="D70" s="415">
        <v>431066855</v>
      </c>
    </row>
    <row r="71" spans="1:4" ht="24.75" thickBot="1" x14ac:dyDescent="0.25">
      <c r="A71" s="17"/>
      <c r="B71" s="414" t="s">
        <v>718</v>
      </c>
      <c r="C71" s="415" t="s">
        <v>408</v>
      </c>
      <c r="D71" s="415">
        <v>431066864</v>
      </c>
    </row>
    <row r="72" spans="1:4" ht="15" thickBot="1" x14ac:dyDescent="0.25">
      <c r="A72" s="17"/>
      <c r="B72" s="414" t="s">
        <v>704</v>
      </c>
      <c r="C72" s="415" t="s">
        <v>408</v>
      </c>
      <c r="D72" s="415">
        <v>431066873</v>
      </c>
    </row>
    <row r="73" spans="1:4" ht="15" thickBot="1" x14ac:dyDescent="0.25">
      <c r="A73" s="17"/>
      <c r="B73" s="414" t="s">
        <v>705</v>
      </c>
      <c r="C73" s="415" t="s">
        <v>408</v>
      </c>
      <c r="D73" s="415">
        <v>431066882</v>
      </c>
    </row>
    <row r="74" spans="1:4" ht="15" thickBot="1" x14ac:dyDescent="0.25">
      <c r="A74" s="17"/>
      <c r="B74" s="414" t="s">
        <v>691</v>
      </c>
      <c r="C74" s="415" t="s">
        <v>408</v>
      </c>
      <c r="D74" s="415">
        <v>431066903</v>
      </c>
    </row>
    <row r="75" spans="1:4" ht="24.75" thickBot="1" x14ac:dyDescent="0.25">
      <c r="A75" s="17"/>
      <c r="B75" s="414" t="s">
        <v>719</v>
      </c>
      <c r="C75" s="415" t="s">
        <v>408</v>
      </c>
      <c r="D75" s="415">
        <v>431066949</v>
      </c>
    </row>
    <row r="76" spans="1:4" ht="15" thickBot="1" x14ac:dyDescent="0.25">
      <c r="A76" s="17"/>
      <c r="B76" s="414" t="s">
        <v>720</v>
      </c>
      <c r="C76" s="415" t="s">
        <v>408</v>
      </c>
      <c r="D76" s="415">
        <v>435235444</v>
      </c>
    </row>
    <row r="77" spans="1:4" ht="15" thickBot="1" x14ac:dyDescent="0.25">
      <c r="A77" s="17"/>
      <c r="B77" s="414" t="s">
        <v>721</v>
      </c>
      <c r="C77" s="415" t="s">
        <v>408</v>
      </c>
      <c r="D77" s="415">
        <v>440542182</v>
      </c>
    </row>
    <row r="78" spans="1:4" ht="15" thickBot="1" x14ac:dyDescent="0.25">
      <c r="A78" s="17"/>
      <c r="B78" s="414" t="s">
        <v>764</v>
      </c>
      <c r="C78" s="415" t="s">
        <v>408</v>
      </c>
      <c r="D78" s="415">
        <v>440542249</v>
      </c>
    </row>
    <row r="79" spans="1:4" ht="15" thickBot="1" x14ac:dyDescent="0.25">
      <c r="A79" s="17"/>
      <c r="B79" s="414" t="s">
        <v>765</v>
      </c>
      <c r="C79" s="415" t="s">
        <v>408</v>
      </c>
      <c r="D79" s="415">
        <v>440542258</v>
      </c>
    </row>
    <row r="80" spans="1:4" ht="15" thickBot="1" x14ac:dyDescent="0.25">
      <c r="A80" s="17"/>
      <c r="B80" s="414" t="s">
        <v>766</v>
      </c>
      <c r="C80" s="415" t="s">
        <v>408</v>
      </c>
      <c r="D80" s="415">
        <v>444406732</v>
      </c>
    </row>
    <row r="81" spans="1:4" ht="15" thickBot="1" x14ac:dyDescent="0.25">
      <c r="A81" s="17"/>
      <c r="B81" s="414" t="s">
        <v>767</v>
      </c>
      <c r="C81" s="415" t="s">
        <v>408</v>
      </c>
      <c r="D81" s="415">
        <v>451169192</v>
      </c>
    </row>
    <row r="82" spans="1:4" ht="15" thickBot="1" x14ac:dyDescent="0.25">
      <c r="B82" s="414" t="s">
        <v>768</v>
      </c>
      <c r="C82" s="415" t="s">
        <v>408</v>
      </c>
      <c r="D82" s="415">
        <v>451169204</v>
      </c>
    </row>
    <row r="83" spans="1:4" ht="15" thickBot="1" x14ac:dyDescent="0.25">
      <c r="B83" s="414" t="s">
        <v>769</v>
      </c>
      <c r="C83" s="415" t="s">
        <v>408</v>
      </c>
      <c r="D83" s="415">
        <v>451169222</v>
      </c>
    </row>
    <row r="84" spans="1:4" ht="24.75" thickBot="1" x14ac:dyDescent="0.25">
      <c r="B84" s="414" t="s">
        <v>770</v>
      </c>
      <c r="C84" s="415" t="s">
        <v>408</v>
      </c>
      <c r="D84" s="415">
        <v>457269825</v>
      </c>
    </row>
    <row r="85" spans="1:4" ht="15" thickBot="1" x14ac:dyDescent="0.25">
      <c r="B85" s="414" t="s">
        <v>771</v>
      </c>
      <c r="C85" s="415" t="s">
        <v>408</v>
      </c>
      <c r="D85" s="415">
        <v>451169268</v>
      </c>
    </row>
    <row r="86" spans="1:4" ht="15" thickBot="1" x14ac:dyDescent="0.25">
      <c r="B86" s="414" t="s">
        <v>772</v>
      </c>
      <c r="C86" s="415" t="s">
        <v>408</v>
      </c>
      <c r="D86" s="415">
        <v>451169259</v>
      </c>
    </row>
    <row r="87" spans="1:4" ht="15" thickBot="1" x14ac:dyDescent="0.25">
      <c r="B87" s="414" t="s">
        <v>773</v>
      </c>
      <c r="C87" s="415" t="s">
        <v>408</v>
      </c>
      <c r="D87" s="415">
        <v>461563669</v>
      </c>
    </row>
    <row r="88" spans="1:4" ht="15" thickBot="1" x14ac:dyDescent="0.25">
      <c r="B88" s="414" t="s">
        <v>774</v>
      </c>
      <c r="C88" s="415" t="s">
        <v>408</v>
      </c>
      <c r="D88" s="415">
        <v>461333385</v>
      </c>
    </row>
    <row r="89" spans="1:4" ht="15" thickBot="1" x14ac:dyDescent="0.25">
      <c r="B89" s="414" t="s">
        <v>775</v>
      </c>
      <c r="C89" s="415" t="s">
        <v>408</v>
      </c>
      <c r="D89" s="415">
        <v>461844797</v>
      </c>
    </row>
    <row r="90" spans="1:4" ht="15" thickBot="1" x14ac:dyDescent="0.25">
      <c r="B90" s="414" t="s">
        <v>776</v>
      </c>
      <c r="C90" s="415" t="s">
        <v>408</v>
      </c>
      <c r="D90" s="415">
        <v>460128726</v>
      </c>
    </row>
    <row r="91" spans="1:4" ht="15" thickBot="1" x14ac:dyDescent="0.25">
      <c r="B91" s="414" t="s">
        <v>777</v>
      </c>
      <c r="C91" s="415" t="s">
        <v>408</v>
      </c>
      <c r="D91" s="415">
        <v>460128717</v>
      </c>
    </row>
    <row r="92" spans="1:4" ht="24.75" thickBot="1" x14ac:dyDescent="0.25">
      <c r="B92" s="414" t="s">
        <v>778</v>
      </c>
      <c r="C92" s="415" t="s">
        <v>408</v>
      </c>
      <c r="D92" s="415">
        <v>460128735</v>
      </c>
    </row>
    <row r="93" spans="1:4" ht="15" thickBot="1" x14ac:dyDescent="0.25">
      <c r="B93" s="414" t="s">
        <v>805</v>
      </c>
      <c r="C93" s="415" t="s">
        <v>408</v>
      </c>
      <c r="D93" s="415">
        <v>473440941</v>
      </c>
    </row>
    <row r="94" spans="1:4" ht="15" thickBot="1" x14ac:dyDescent="0.25">
      <c r="B94" s="414" t="s">
        <v>814</v>
      </c>
      <c r="C94" s="415" t="s">
        <v>408</v>
      </c>
      <c r="D94" s="415">
        <v>460128753</v>
      </c>
    </row>
    <row r="95" spans="1:4" ht="15" thickBot="1" x14ac:dyDescent="0.25">
      <c r="B95" s="414" t="s">
        <v>837</v>
      </c>
      <c r="C95" s="415" t="s">
        <v>408</v>
      </c>
      <c r="D95" s="415">
        <v>460128744</v>
      </c>
    </row>
    <row r="96" spans="1:4" ht="15" thickBot="1" x14ac:dyDescent="0.25">
      <c r="B96" s="414" t="s">
        <v>804</v>
      </c>
      <c r="C96" s="415" t="s">
        <v>408</v>
      </c>
      <c r="D96" s="415">
        <v>460128762</v>
      </c>
    </row>
    <row r="97" spans="2:4" ht="24.75" thickBot="1" x14ac:dyDescent="0.25">
      <c r="B97" s="414" t="s">
        <v>838</v>
      </c>
      <c r="C97" s="415" t="s">
        <v>408</v>
      </c>
      <c r="D97" s="415">
        <v>460128771</v>
      </c>
    </row>
    <row r="98" spans="2:4" ht="15" thickBot="1" x14ac:dyDescent="0.25">
      <c r="B98" s="414" t="s">
        <v>816</v>
      </c>
      <c r="C98" s="415" t="s">
        <v>408</v>
      </c>
      <c r="D98" s="415">
        <v>463069325</v>
      </c>
    </row>
    <row r="99" spans="2:4" ht="15" thickBot="1" x14ac:dyDescent="0.25">
      <c r="B99" s="414" t="s">
        <v>839</v>
      </c>
      <c r="C99" s="415" t="s">
        <v>408</v>
      </c>
      <c r="D99" s="415">
        <v>463069343</v>
      </c>
    </row>
    <row r="100" spans="2:4" ht="36.75" thickBot="1" x14ac:dyDescent="0.25">
      <c r="B100" s="414" t="s">
        <v>840</v>
      </c>
      <c r="C100" s="415" t="s">
        <v>408</v>
      </c>
      <c r="D100" s="415">
        <v>463069419</v>
      </c>
    </row>
    <row r="101" spans="2:4" ht="15" thickBot="1" x14ac:dyDescent="0.25">
      <c r="B101" s="414" t="s">
        <v>651</v>
      </c>
      <c r="C101" s="415" t="s">
        <v>407</v>
      </c>
      <c r="D101" s="415">
        <v>4058044959</v>
      </c>
    </row>
    <row r="102" spans="2:4" ht="15" thickBot="1" x14ac:dyDescent="0.25">
      <c r="B102" s="414" t="s">
        <v>608</v>
      </c>
      <c r="C102" s="415" t="s">
        <v>407</v>
      </c>
      <c r="D102" s="415">
        <v>4058044892</v>
      </c>
    </row>
    <row r="103" spans="2:4" ht="15" thickBot="1" x14ac:dyDescent="0.25">
      <c r="B103" s="414" t="s">
        <v>652</v>
      </c>
      <c r="C103" s="415" t="s">
        <v>407</v>
      </c>
      <c r="D103" s="415">
        <v>4058044918</v>
      </c>
    </row>
    <row r="104" spans="2:4" ht="15" thickBot="1" x14ac:dyDescent="0.25">
      <c r="B104" s="414" t="s">
        <v>653</v>
      </c>
      <c r="C104" s="415" t="s">
        <v>407</v>
      </c>
      <c r="D104" s="415">
        <v>4058044926</v>
      </c>
    </row>
    <row r="105" spans="2:4" ht="15" thickBot="1" x14ac:dyDescent="0.25">
      <c r="B105" s="414" t="s">
        <v>654</v>
      </c>
      <c r="C105" s="415" t="s">
        <v>407</v>
      </c>
      <c r="D105" s="415">
        <v>4058044934</v>
      </c>
    </row>
    <row r="106" spans="2:4" ht="15" thickBot="1" x14ac:dyDescent="0.25">
      <c r="B106" s="414" t="s">
        <v>655</v>
      </c>
      <c r="C106" s="415" t="s">
        <v>407</v>
      </c>
      <c r="D106" s="415">
        <v>4058044942</v>
      </c>
    </row>
    <row r="107" spans="2:4" ht="15" thickBot="1" x14ac:dyDescent="0.25">
      <c r="B107" s="414" t="s">
        <v>656</v>
      </c>
      <c r="C107" s="415" t="s">
        <v>407</v>
      </c>
      <c r="D107" s="415">
        <v>4058044967</v>
      </c>
    </row>
    <row r="108" spans="2:4" ht="15" thickBot="1" x14ac:dyDescent="0.25">
      <c r="B108" s="414" t="s">
        <v>657</v>
      </c>
      <c r="C108" s="415" t="s">
        <v>407</v>
      </c>
      <c r="D108" s="415">
        <v>4058044975</v>
      </c>
    </row>
    <row r="109" spans="2:4" ht="15" thickBot="1" x14ac:dyDescent="0.25">
      <c r="B109" s="414" t="s">
        <v>658</v>
      </c>
      <c r="C109" s="415" t="s">
        <v>407</v>
      </c>
      <c r="D109" s="415">
        <v>4058044983</v>
      </c>
    </row>
    <row r="110" spans="2:4" ht="24.75" thickBot="1" x14ac:dyDescent="0.25">
      <c r="B110" s="414" t="s">
        <v>659</v>
      </c>
      <c r="C110" s="415" t="s">
        <v>407</v>
      </c>
      <c r="D110" s="415">
        <v>4058833781</v>
      </c>
    </row>
    <row r="111" spans="2:4" ht="15" thickBot="1" x14ac:dyDescent="0.25">
      <c r="B111" s="414" t="s">
        <v>660</v>
      </c>
      <c r="C111" s="415" t="s">
        <v>407</v>
      </c>
      <c r="D111" s="415">
        <v>4058833799</v>
      </c>
    </row>
    <row r="112" spans="2:4" ht="24.75" thickBot="1" x14ac:dyDescent="0.25">
      <c r="B112" s="414" t="s">
        <v>661</v>
      </c>
      <c r="C112" s="415" t="s">
        <v>407</v>
      </c>
      <c r="D112" s="415">
        <v>4058833880</v>
      </c>
    </row>
    <row r="113" spans="2:4" ht="15" thickBot="1" x14ac:dyDescent="0.25">
      <c r="B113" s="414" t="s">
        <v>662</v>
      </c>
      <c r="C113" s="415" t="s">
        <v>407</v>
      </c>
      <c r="D113" s="415">
        <v>4058833914</v>
      </c>
    </row>
    <row r="114" spans="2:4" ht="24.75" thickBot="1" x14ac:dyDescent="0.25">
      <c r="B114" s="414" t="s">
        <v>663</v>
      </c>
      <c r="C114" s="415" t="s">
        <v>407</v>
      </c>
      <c r="D114" s="415">
        <v>4058833963</v>
      </c>
    </row>
    <row r="115" spans="2:4" ht="15" thickBot="1" x14ac:dyDescent="0.25">
      <c r="B115" s="414" t="s">
        <v>664</v>
      </c>
      <c r="C115" s="415" t="s">
        <v>407</v>
      </c>
      <c r="D115" s="415">
        <v>4058833971</v>
      </c>
    </row>
    <row r="116" spans="2:4" ht="15" thickBot="1" x14ac:dyDescent="0.25">
      <c r="B116" s="414" t="s">
        <v>686</v>
      </c>
      <c r="C116" s="415" t="s">
        <v>407</v>
      </c>
      <c r="D116" s="415">
        <v>4058834029</v>
      </c>
    </row>
    <row r="117" spans="2:4" ht="60.75" thickBot="1" x14ac:dyDescent="0.25">
      <c r="B117" s="414" t="s">
        <v>722</v>
      </c>
      <c r="C117" s="415" t="s">
        <v>407</v>
      </c>
      <c r="D117" s="415">
        <v>4058834086</v>
      </c>
    </row>
    <row r="118" spans="2:4" ht="15" thickBot="1" x14ac:dyDescent="0.25">
      <c r="B118" s="414" t="s">
        <v>723</v>
      </c>
      <c r="C118" s="415" t="s">
        <v>407</v>
      </c>
      <c r="D118" s="415">
        <v>4058834094</v>
      </c>
    </row>
    <row r="119" spans="2:4" ht="15" thickBot="1" x14ac:dyDescent="0.25">
      <c r="B119" s="414" t="s">
        <v>724</v>
      </c>
      <c r="C119" s="415" t="s">
        <v>407</v>
      </c>
      <c r="D119" s="415">
        <v>4058834300</v>
      </c>
    </row>
    <row r="120" spans="2:4" ht="15" thickBot="1" x14ac:dyDescent="0.25">
      <c r="B120" s="414" t="s">
        <v>725</v>
      </c>
      <c r="C120" s="415" t="s">
        <v>407</v>
      </c>
      <c r="D120" s="415">
        <v>4058834318</v>
      </c>
    </row>
    <row r="121" spans="2:4" ht="15" thickBot="1" x14ac:dyDescent="0.25">
      <c r="B121" s="414" t="s">
        <v>726</v>
      </c>
      <c r="C121" s="415" t="s">
        <v>407</v>
      </c>
      <c r="D121" s="415">
        <v>4058834342</v>
      </c>
    </row>
    <row r="122" spans="2:4" ht="15" thickBot="1" x14ac:dyDescent="0.25">
      <c r="B122" s="414" t="s">
        <v>727</v>
      </c>
      <c r="C122" s="415" t="s">
        <v>407</v>
      </c>
      <c r="D122" s="415">
        <v>4058834359</v>
      </c>
    </row>
    <row r="123" spans="2:4" ht="24.75" thickBot="1" x14ac:dyDescent="0.25">
      <c r="B123" s="414" t="s">
        <v>728</v>
      </c>
      <c r="C123" s="415" t="s">
        <v>407</v>
      </c>
      <c r="D123" s="415">
        <v>4058834581</v>
      </c>
    </row>
    <row r="124" spans="2:4" ht="24.75" thickBot="1" x14ac:dyDescent="0.25">
      <c r="B124" s="414" t="s">
        <v>729</v>
      </c>
      <c r="C124" s="415" t="s">
        <v>407</v>
      </c>
      <c r="D124" s="415">
        <v>4058834813</v>
      </c>
    </row>
    <row r="125" spans="2:4" ht="24.75" thickBot="1" x14ac:dyDescent="0.25">
      <c r="B125" s="414" t="s">
        <v>730</v>
      </c>
      <c r="C125" s="415" t="s">
        <v>407</v>
      </c>
      <c r="D125" s="415">
        <v>4059357673</v>
      </c>
    </row>
    <row r="126" spans="2:4" ht="15" thickBot="1" x14ac:dyDescent="0.25">
      <c r="B126" s="414" t="s">
        <v>731</v>
      </c>
      <c r="C126" s="415" t="s">
        <v>407</v>
      </c>
      <c r="D126" s="415">
        <v>4059357707</v>
      </c>
    </row>
    <row r="127" spans="2:4" ht="15" thickBot="1" x14ac:dyDescent="0.25">
      <c r="B127" s="414" t="s">
        <v>779</v>
      </c>
      <c r="C127" s="415" t="s">
        <v>407</v>
      </c>
      <c r="D127" s="415">
        <v>4059357830</v>
      </c>
    </row>
    <row r="128" spans="2:4" ht="15" thickBot="1" x14ac:dyDescent="0.25">
      <c r="B128" s="414" t="s">
        <v>780</v>
      </c>
      <c r="C128" s="415" t="s">
        <v>407</v>
      </c>
      <c r="D128" s="415">
        <v>4059357822</v>
      </c>
    </row>
    <row r="129" spans="2:4" ht="24.75" thickBot="1" x14ac:dyDescent="0.25">
      <c r="B129" s="414" t="s">
        <v>781</v>
      </c>
      <c r="C129" s="415" t="s">
        <v>407</v>
      </c>
      <c r="D129" s="415">
        <v>4059357913</v>
      </c>
    </row>
    <row r="130" spans="2:4" ht="15" thickBot="1" x14ac:dyDescent="0.25">
      <c r="B130" s="414" t="s">
        <v>782</v>
      </c>
      <c r="C130" s="415" t="s">
        <v>407</v>
      </c>
      <c r="D130" s="415">
        <v>4059357939</v>
      </c>
    </row>
    <row r="131" spans="2:4" ht="15" thickBot="1" x14ac:dyDescent="0.25">
      <c r="B131" s="414" t="s">
        <v>783</v>
      </c>
      <c r="C131" s="415" t="s">
        <v>407</v>
      </c>
      <c r="D131" s="415">
        <v>4059357954</v>
      </c>
    </row>
    <row r="132" spans="2:4" ht="15" thickBot="1" x14ac:dyDescent="0.25">
      <c r="B132" s="414" t="s">
        <v>784</v>
      </c>
      <c r="C132" s="415" t="s">
        <v>407</v>
      </c>
      <c r="D132" s="415">
        <v>4059358119</v>
      </c>
    </row>
    <row r="133" spans="2:4" ht="15" thickBot="1" x14ac:dyDescent="0.25">
      <c r="B133" s="414" t="s">
        <v>785</v>
      </c>
      <c r="C133" s="415" t="s">
        <v>407</v>
      </c>
      <c r="D133" s="415">
        <v>4059358085</v>
      </c>
    </row>
    <row r="134" spans="2:4" ht="24.75" thickBot="1" x14ac:dyDescent="0.25">
      <c r="B134" s="414" t="s">
        <v>835</v>
      </c>
      <c r="C134" s="415" t="s">
        <v>407</v>
      </c>
      <c r="D134" s="415">
        <v>4059358283</v>
      </c>
    </row>
    <row r="135" spans="2:4" ht="15" thickBot="1" x14ac:dyDescent="0.25">
      <c r="B135" s="414" t="s">
        <v>836</v>
      </c>
      <c r="C135" s="415" t="s">
        <v>407</v>
      </c>
      <c r="D135" s="415">
        <v>4059358259</v>
      </c>
    </row>
    <row r="136" spans="2:4" ht="15" thickBot="1" x14ac:dyDescent="0.25">
      <c r="B136" s="414" t="s">
        <v>813</v>
      </c>
      <c r="C136" s="415" t="s">
        <v>407</v>
      </c>
      <c r="D136" s="415">
        <v>4059358291</v>
      </c>
    </row>
  </sheetData>
  <mergeCells count="5">
    <mergeCell ref="B8:D8"/>
    <mergeCell ref="B9:D9"/>
    <mergeCell ref="B10:D10"/>
    <mergeCell ref="B11:B12"/>
    <mergeCell ref="C11:D11"/>
  </mergeCells>
  <pageMargins left="0.17" right="0.15748031496062992" top="0.25" bottom="0.3" header="0.24" footer="0.24"/>
  <pageSetup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workbookViewId="0">
      <selection activeCell="F8" sqref="F8"/>
    </sheetView>
  </sheetViews>
  <sheetFormatPr baseColWidth="10" defaultRowHeight="15" x14ac:dyDescent="0.25"/>
  <cols>
    <col min="1" max="1" width="6" customWidth="1"/>
    <col min="2" max="2" width="78.28515625" customWidth="1"/>
    <col min="3" max="3" width="26.85546875" customWidth="1"/>
    <col min="4" max="4" width="7.7109375" customWidth="1"/>
    <col min="6" max="6" width="15.140625" customWidth="1"/>
  </cols>
  <sheetData>
    <row r="1" spans="1:6" x14ac:dyDescent="0.25">
      <c r="D1" s="7"/>
    </row>
    <row r="2" spans="1:6" s="266" customFormat="1" ht="14.25" x14ac:dyDescent="0.2">
      <c r="D2" s="425"/>
    </row>
    <row r="3" spans="1:6" s="266" customFormat="1" ht="14.25" x14ac:dyDescent="0.2">
      <c r="D3" s="425"/>
    </row>
    <row r="4" spans="1:6" s="266" customFormat="1" ht="14.25" x14ac:dyDescent="0.2">
      <c r="A4" s="425"/>
      <c r="D4" s="425"/>
    </row>
    <row r="5" spans="1:6" s="266" customFormat="1" ht="14.25" x14ac:dyDescent="0.2">
      <c r="A5" s="425"/>
      <c r="D5" s="425"/>
    </row>
    <row r="6" spans="1:6" s="266" customFormat="1" ht="14.25" x14ac:dyDescent="0.2">
      <c r="A6" s="425"/>
      <c r="D6" s="425"/>
    </row>
    <row r="7" spans="1:6" s="266" customFormat="1" ht="14.25" x14ac:dyDescent="0.2">
      <c r="A7" s="425"/>
      <c r="D7" s="425"/>
    </row>
    <row r="8" spans="1:6" s="266" customFormat="1" thickBot="1" x14ac:dyDescent="0.25">
      <c r="A8" s="425"/>
      <c r="B8" s="17"/>
      <c r="C8" s="17"/>
      <c r="D8" s="425"/>
    </row>
    <row r="9" spans="1:6" s="266" customFormat="1" x14ac:dyDescent="0.2">
      <c r="A9" s="425"/>
      <c r="B9" s="913" t="str">
        <f>+'Relacion Ctas Banc'!B8:D8</f>
        <v>Cuenta Pública 2016</v>
      </c>
      <c r="C9" s="914"/>
      <c r="D9" s="425"/>
    </row>
    <row r="10" spans="1:6" s="266" customFormat="1" x14ac:dyDescent="0.2">
      <c r="A10" s="425"/>
      <c r="B10" s="916" t="s">
        <v>389</v>
      </c>
      <c r="C10" s="917"/>
      <c r="D10" s="425"/>
    </row>
    <row r="11" spans="1:6" s="266" customFormat="1" ht="15.75" thickBot="1" x14ac:dyDescent="0.25">
      <c r="A11" s="425"/>
      <c r="B11" s="919" t="s">
        <v>786</v>
      </c>
      <c r="C11" s="920"/>
      <c r="D11" s="425"/>
    </row>
    <row r="12" spans="1:6" s="266" customFormat="1" ht="14.25" x14ac:dyDescent="0.2">
      <c r="A12" s="425"/>
      <c r="B12" s="926" t="s">
        <v>477</v>
      </c>
      <c r="C12" s="926" t="s">
        <v>517</v>
      </c>
      <c r="D12" s="425"/>
    </row>
    <row r="13" spans="1:6" s="266" customFormat="1" thickBot="1" x14ac:dyDescent="0.25">
      <c r="A13" s="425"/>
      <c r="B13" s="927"/>
      <c r="C13" s="927"/>
      <c r="D13" s="425"/>
    </row>
    <row r="14" spans="1:6" ht="15.75" thickBot="1" x14ac:dyDescent="0.3">
      <c r="A14" s="7"/>
      <c r="D14" s="7"/>
    </row>
    <row r="15" spans="1:6" ht="15.75" x14ac:dyDescent="0.25">
      <c r="A15" s="7"/>
      <c r="B15" s="432" t="s">
        <v>516</v>
      </c>
      <c r="C15" s="536">
        <v>28250307.620000001</v>
      </c>
      <c r="D15" s="7"/>
      <c r="F15" s="638"/>
    </row>
    <row r="16" spans="1:6" ht="15.75" x14ac:dyDescent="0.25">
      <c r="A16" s="7"/>
      <c r="B16" s="433" t="s">
        <v>515</v>
      </c>
      <c r="C16" s="537">
        <v>262772760.34</v>
      </c>
      <c r="F16" s="638"/>
    </row>
    <row r="17" spans="2:9" ht="15.75" x14ac:dyDescent="0.25">
      <c r="B17" s="433" t="s">
        <v>514</v>
      </c>
      <c r="C17" s="537">
        <v>50107656.390000001</v>
      </c>
      <c r="F17" s="640"/>
      <c r="G17" s="640"/>
      <c r="H17" s="640"/>
      <c r="I17" s="639"/>
    </row>
    <row r="18" spans="2:9" ht="15.75" x14ac:dyDescent="0.25">
      <c r="B18" s="433" t="s">
        <v>513</v>
      </c>
      <c r="C18" s="537">
        <v>60893146</v>
      </c>
      <c r="F18" s="640"/>
      <c r="G18" s="640"/>
      <c r="H18" s="640"/>
    </row>
    <row r="19" spans="2:9" ht="15.75" x14ac:dyDescent="0.25">
      <c r="B19" s="433" t="s">
        <v>512</v>
      </c>
      <c r="C19" s="537">
        <v>19596134.579999998</v>
      </c>
      <c r="F19" s="640"/>
      <c r="G19" s="640"/>
      <c r="H19" s="640"/>
      <c r="I19" s="639"/>
    </row>
    <row r="20" spans="2:9" ht="15.75" x14ac:dyDescent="0.25">
      <c r="B20" s="433" t="s">
        <v>511</v>
      </c>
      <c r="C20" s="537">
        <v>67169150.040000007</v>
      </c>
      <c r="F20" s="638"/>
    </row>
    <row r="21" spans="2:9" ht="15.75" x14ac:dyDescent="0.25">
      <c r="B21" s="433" t="s">
        <v>510</v>
      </c>
      <c r="C21" s="537">
        <v>38581261.090000004</v>
      </c>
      <c r="F21" s="638"/>
    </row>
    <row r="22" spans="2:9" ht="15.75" x14ac:dyDescent="0.25">
      <c r="B22" s="433" t="s">
        <v>509</v>
      </c>
      <c r="C22" s="537">
        <v>111285302.87</v>
      </c>
      <c r="F22" s="640"/>
      <c r="G22" s="640"/>
      <c r="H22" s="640"/>
      <c r="I22" s="639"/>
    </row>
    <row r="23" spans="2:9" ht="15.75" x14ac:dyDescent="0.25">
      <c r="B23" s="433" t="s">
        <v>508</v>
      </c>
      <c r="C23" s="537">
        <v>153600007.41</v>
      </c>
      <c r="F23" s="638"/>
    </row>
    <row r="24" spans="2:9" ht="15.75" x14ac:dyDescent="0.25">
      <c r="B24" s="433" t="s">
        <v>507</v>
      </c>
      <c r="C24" s="537">
        <v>39707379.200000003</v>
      </c>
      <c r="F24" s="640"/>
      <c r="G24" s="640"/>
      <c r="H24" s="640"/>
    </row>
    <row r="25" spans="2:9" ht="15.75" x14ac:dyDescent="0.25">
      <c r="B25" s="433" t="s">
        <v>506</v>
      </c>
      <c r="C25" s="537">
        <v>34720289.619999997</v>
      </c>
      <c r="F25" s="640"/>
      <c r="G25" s="640"/>
      <c r="H25" s="640"/>
    </row>
    <row r="26" spans="2:9" ht="15.75" x14ac:dyDescent="0.25">
      <c r="B26" s="433" t="s">
        <v>505</v>
      </c>
      <c r="C26" s="537">
        <v>25267047.809999995</v>
      </c>
      <c r="F26" s="641"/>
      <c r="G26" s="641"/>
      <c r="H26" s="641"/>
    </row>
    <row r="27" spans="2:9" ht="15.75" x14ac:dyDescent="0.25">
      <c r="B27" s="433" t="s">
        <v>504</v>
      </c>
      <c r="C27" s="537">
        <v>24616409.760000013</v>
      </c>
      <c r="F27" s="640"/>
      <c r="G27" s="640"/>
      <c r="H27" s="640"/>
    </row>
    <row r="28" spans="2:9" ht="15.75" x14ac:dyDescent="0.25">
      <c r="B28" s="433" t="s">
        <v>503</v>
      </c>
      <c r="C28" s="537">
        <v>40389530.549999997</v>
      </c>
      <c r="F28" s="640"/>
      <c r="G28" s="640"/>
      <c r="H28" s="640"/>
    </row>
    <row r="29" spans="2:9" ht="15.75" x14ac:dyDescent="0.25">
      <c r="B29" s="433" t="s">
        <v>502</v>
      </c>
      <c r="C29" s="537">
        <v>21973199.710000001</v>
      </c>
      <c r="F29" s="640"/>
      <c r="G29" s="640"/>
      <c r="H29" s="640"/>
      <c r="I29" s="639"/>
    </row>
    <row r="30" spans="2:9" ht="15.75" x14ac:dyDescent="0.25">
      <c r="B30" s="433" t="s">
        <v>501</v>
      </c>
      <c r="C30" s="537">
        <v>18033493.909999985</v>
      </c>
      <c r="F30" s="640"/>
      <c r="G30" s="640"/>
      <c r="H30" s="640"/>
    </row>
    <row r="31" spans="2:9" ht="15.75" x14ac:dyDescent="0.25">
      <c r="B31" s="433" t="s">
        <v>500</v>
      </c>
      <c r="C31" s="537">
        <v>168974883.6500001</v>
      </c>
      <c r="F31" s="640"/>
      <c r="G31" s="640"/>
      <c r="H31" s="640"/>
      <c r="I31" s="639"/>
    </row>
    <row r="32" spans="2:9" ht="15.75" x14ac:dyDescent="0.25">
      <c r="B32" s="433" t="s">
        <v>499</v>
      </c>
      <c r="C32" s="537">
        <v>431694832.83000016</v>
      </c>
      <c r="F32" s="640"/>
      <c r="G32" s="640"/>
      <c r="H32" s="640"/>
      <c r="I32" s="639"/>
    </row>
    <row r="33" spans="2:10" ht="15.75" x14ac:dyDescent="0.25">
      <c r="B33" s="433" t="s">
        <v>498</v>
      </c>
      <c r="C33" s="537">
        <v>28369860.060000006</v>
      </c>
      <c r="F33" s="640"/>
      <c r="G33" s="640"/>
      <c r="H33" s="640"/>
      <c r="I33" s="639"/>
    </row>
    <row r="34" spans="2:10" ht="15.75" x14ac:dyDescent="0.25">
      <c r="B34" s="433" t="s">
        <v>497</v>
      </c>
      <c r="C34" s="537">
        <v>119011680.41999994</v>
      </c>
      <c r="F34" s="638"/>
    </row>
    <row r="35" spans="2:10" ht="15.75" x14ac:dyDescent="0.25">
      <c r="B35" s="433" t="s">
        <v>496</v>
      </c>
      <c r="C35" s="537">
        <v>27148924.399999972</v>
      </c>
      <c r="F35" s="640"/>
      <c r="G35" s="640"/>
      <c r="H35" s="640"/>
    </row>
    <row r="36" spans="2:10" ht="15.75" x14ac:dyDescent="0.25">
      <c r="B36" s="433" t="s">
        <v>495</v>
      </c>
      <c r="C36" s="537">
        <v>66949274.229999989</v>
      </c>
      <c r="F36" s="638"/>
    </row>
    <row r="37" spans="2:10" ht="15.75" x14ac:dyDescent="0.25">
      <c r="B37" s="433" t="s">
        <v>494</v>
      </c>
      <c r="C37" s="537">
        <v>35557460.310000002</v>
      </c>
      <c r="F37" s="640"/>
      <c r="G37" s="640"/>
      <c r="H37" s="640"/>
      <c r="I37" s="639"/>
    </row>
    <row r="38" spans="2:10" ht="15.75" x14ac:dyDescent="0.25">
      <c r="B38" s="433" t="s">
        <v>493</v>
      </c>
      <c r="C38" s="537">
        <v>111908218.47999997</v>
      </c>
      <c r="F38" s="640"/>
      <c r="G38" s="640"/>
      <c r="H38" s="640"/>
    </row>
    <row r="39" spans="2:10" ht="15.75" x14ac:dyDescent="0.25">
      <c r="B39" s="433" t="s">
        <v>492</v>
      </c>
      <c r="C39" s="537">
        <v>301679286.56000006</v>
      </c>
      <c r="F39" s="640"/>
      <c r="G39" s="640"/>
      <c r="H39" s="640"/>
      <c r="I39" s="639"/>
      <c r="J39" s="639"/>
    </row>
    <row r="40" spans="2:10" ht="15.75" x14ac:dyDescent="0.25">
      <c r="B40" s="433" t="s">
        <v>491</v>
      </c>
      <c r="C40" s="537">
        <v>52420751.740000002</v>
      </c>
      <c r="F40" s="640"/>
      <c r="G40" s="640"/>
      <c r="H40" s="640"/>
    </row>
    <row r="41" spans="2:10" ht="15.75" x14ac:dyDescent="0.25">
      <c r="B41" s="433" t="s">
        <v>490</v>
      </c>
      <c r="C41" s="537">
        <v>267152105.74000004</v>
      </c>
      <c r="F41" s="640"/>
      <c r="G41" s="640"/>
      <c r="H41" s="640"/>
    </row>
    <row r="42" spans="2:10" ht="15.75" x14ac:dyDescent="0.25">
      <c r="B42" s="433" t="s">
        <v>489</v>
      </c>
      <c r="C42" s="537">
        <v>128476710.53000011</v>
      </c>
      <c r="F42" s="640"/>
      <c r="G42" s="640"/>
      <c r="H42" s="640"/>
      <c r="I42" s="639"/>
    </row>
    <row r="43" spans="2:10" ht="15.75" x14ac:dyDescent="0.25">
      <c r="B43" s="433" t="s">
        <v>488</v>
      </c>
      <c r="C43" s="537">
        <v>19468772.329999994</v>
      </c>
      <c r="F43" s="640"/>
      <c r="G43" s="640"/>
      <c r="H43" s="640"/>
      <c r="I43" s="639"/>
    </row>
    <row r="44" spans="2:10" ht="15.75" x14ac:dyDescent="0.25">
      <c r="B44" s="433" t="s">
        <v>487</v>
      </c>
      <c r="C44" s="537">
        <v>1469160175.2499998</v>
      </c>
      <c r="F44" s="638"/>
    </row>
    <row r="45" spans="2:10" ht="15.75" x14ac:dyDescent="0.25">
      <c r="B45" s="433" t="s">
        <v>486</v>
      </c>
      <c r="C45" s="537">
        <v>70718367.810000002</v>
      </c>
      <c r="F45" s="638"/>
    </row>
    <row r="46" spans="2:10" ht="15.75" x14ac:dyDescent="0.25">
      <c r="B46" s="433" t="s">
        <v>485</v>
      </c>
      <c r="C46" s="537">
        <v>81687240.309999987</v>
      </c>
      <c r="F46" s="640"/>
      <c r="G46" s="640"/>
      <c r="H46" s="640"/>
    </row>
    <row r="47" spans="2:10" ht="15.75" x14ac:dyDescent="0.25">
      <c r="B47" s="433" t="s">
        <v>484</v>
      </c>
      <c r="C47" s="537">
        <v>186686399.93999997</v>
      </c>
      <c r="F47" s="640"/>
      <c r="G47" s="640"/>
      <c r="H47" s="640"/>
    </row>
    <row r="48" spans="2:10" ht="15.75" x14ac:dyDescent="0.25">
      <c r="B48" s="433" t="s">
        <v>483</v>
      </c>
      <c r="C48" s="537">
        <v>27107638.54999999</v>
      </c>
      <c r="F48" s="640"/>
      <c r="G48" s="640"/>
      <c r="H48" s="640"/>
    </row>
    <row r="49" spans="2:9" ht="15.75" x14ac:dyDescent="0.25">
      <c r="B49" s="433" t="s">
        <v>482</v>
      </c>
      <c r="C49" s="537">
        <v>1357809423.5599997</v>
      </c>
      <c r="F49" s="638"/>
    </row>
    <row r="50" spans="2:9" ht="15.75" x14ac:dyDescent="0.25">
      <c r="B50" s="433" t="s">
        <v>481</v>
      </c>
      <c r="C50" s="537">
        <v>59258230.810000032</v>
      </c>
      <c r="F50" s="640"/>
      <c r="G50" s="640"/>
      <c r="H50" s="640"/>
    </row>
    <row r="51" spans="2:9" ht="15.75" x14ac:dyDescent="0.25">
      <c r="B51" s="433" t="s">
        <v>480</v>
      </c>
      <c r="C51" s="537">
        <v>29197643.819999997</v>
      </c>
      <c r="F51" s="640"/>
      <c r="G51" s="640"/>
      <c r="H51" s="640"/>
      <c r="I51" s="639"/>
    </row>
    <row r="52" spans="2:9" ht="15.75" x14ac:dyDescent="0.25">
      <c r="B52" s="433" t="s">
        <v>479</v>
      </c>
      <c r="C52" s="436">
        <v>36487023.420000017</v>
      </c>
      <c r="F52" s="640"/>
      <c r="G52" s="640"/>
      <c r="H52" s="640"/>
      <c r="I52" s="639"/>
    </row>
    <row r="53" spans="2:9" ht="15.75" x14ac:dyDescent="0.25">
      <c r="B53" s="433" t="s">
        <v>787</v>
      </c>
      <c r="C53" s="436">
        <f>124266798.2+24112.34</f>
        <v>124290910.54000001</v>
      </c>
      <c r="F53" s="640"/>
      <c r="G53" s="640"/>
      <c r="H53" s="640"/>
      <c r="I53" s="639"/>
    </row>
    <row r="54" spans="2:9" ht="15.75" x14ac:dyDescent="0.25">
      <c r="B54" s="433"/>
      <c r="C54" s="436"/>
      <c r="G54" s="640"/>
      <c r="H54" s="640"/>
      <c r="I54" s="639"/>
    </row>
    <row r="55" spans="2:9" ht="15.75" x14ac:dyDescent="0.25">
      <c r="B55" s="434" t="s">
        <v>478</v>
      </c>
      <c r="C55" s="438">
        <f>SUM(C15:C53)</f>
        <v>6198178892.1899996</v>
      </c>
    </row>
    <row r="56" spans="2:9" ht="15.75" thickBot="1" x14ac:dyDescent="0.3">
      <c r="B56" s="435"/>
      <c r="C56" s="437"/>
    </row>
  </sheetData>
  <mergeCells count="5">
    <mergeCell ref="B9:C9"/>
    <mergeCell ref="B10:C10"/>
    <mergeCell ref="B11:C11"/>
    <mergeCell ref="B12:B13"/>
    <mergeCell ref="C12:C13"/>
  </mergeCells>
  <pageMargins left="1.02" right="0.15748031496062992" top="0.51181102362204722" bottom="0.55118110236220474" header="0.23622047244094491" footer="0.27559055118110237"/>
  <pageSetup scale="9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K53"/>
  <sheetViews>
    <sheetView topLeftCell="A25" zoomScaleNormal="100" workbookViewId="0">
      <selection activeCell="C62" sqref="C62:C64"/>
    </sheetView>
  </sheetViews>
  <sheetFormatPr baseColWidth="10" defaultRowHeight="14.25" x14ac:dyDescent="0.2"/>
  <cols>
    <col min="1" max="1" width="3.7109375" style="221" customWidth="1"/>
    <col min="2" max="2" width="11.7109375" style="222" customWidth="1"/>
    <col min="3" max="3" width="57.42578125" style="222" customWidth="1"/>
    <col min="4" max="4" width="20.42578125" style="223" customWidth="1"/>
    <col min="5" max="5" width="19.7109375" style="223" customWidth="1"/>
    <col min="6" max="6" width="20.28515625" style="223" customWidth="1"/>
    <col min="7" max="7" width="15.85546875" style="223" customWidth="1"/>
    <col min="8" max="8" width="16.140625" style="223" customWidth="1"/>
    <col min="9" max="9" width="3.28515625" style="221" customWidth="1"/>
    <col min="10" max="10" width="15" style="17" customWidth="1"/>
    <col min="11" max="11" width="16.140625" style="17" bestFit="1" customWidth="1"/>
    <col min="12" max="16384" width="11.42578125" style="17"/>
  </cols>
  <sheetData>
    <row r="7" spans="1:9" ht="6" customHeight="1" x14ac:dyDescent="0.2">
      <c r="A7" s="83"/>
      <c r="B7" s="84"/>
      <c r="C7" s="83"/>
      <c r="D7" s="743"/>
      <c r="E7" s="743"/>
      <c r="F7" s="744"/>
      <c r="G7" s="744"/>
      <c r="H7" s="744"/>
      <c r="I7" s="744"/>
    </row>
    <row r="8" spans="1:9" s="19" customFormat="1" ht="6" customHeight="1" x14ac:dyDescent="0.2">
      <c r="B8" s="41"/>
    </row>
    <row r="9" spans="1:9" s="19" customFormat="1" ht="14.1" customHeight="1" x14ac:dyDescent="0.25">
      <c r="B9" s="87"/>
      <c r="C9" s="718" t="str">
        <f>+'Estado de Actividades'!C7:I7</f>
        <v>Cuenta Pública 2016</v>
      </c>
      <c r="D9" s="718"/>
      <c r="E9" s="718"/>
      <c r="F9" s="718"/>
      <c r="G9" s="718"/>
      <c r="H9" s="87"/>
      <c r="I9" s="87"/>
    </row>
    <row r="10" spans="1:9" ht="14.1" customHeight="1" x14ac:dyDescent="0.25">
      <c r="B10" s="87"/>
      <c r="C10" s="718" t="s">
        <v>131</v>
      </c>
      <c r="D10" s="718"/>
      <c r="E10" s="718"/>
      <c r="F10" s="718"/>
      <c r="G10" s="718"/>
      <c r="H10" s="87"/>
      <c r="I10" s="87"/>
    </row>
    <row r="11" spans="1:9" ht="14.1" customHeight="1" x14ac:dyDescent="0.25">
      <c r="B11" s="87"/>
      <c r="C11" s="718" t="s">
        <v>793</v>
      </c>
      <c r="D11" s="718"/>
      <c r="E11" s="718"/>
      <c r="F11" s="718"/>
      <c r="G11" s="718"/>
      <c r="H11" s="87"/>
      <c r="I11" s="87"/>
    </row>
    <row r="12" spans="1:9" ht="14.1" customHeight="1" x14ac:dyDescent="0.25">
      <c r="B12" s="87"/>
      <c r="C12" s="718" t="s">
        <v>132</v>
      </c>
      <c r="D12" s="718"/>
      <c r="E12" s="718"/>
      <c r="F12" s="718"/>
      <c r="G12" s="718"/>
      <c r="H12" s="87"/>
      <c r="I12" s="87"/>
    </row>
    <row r="13" spans="1:9" s="19" customFormat="1" ht="3" customHeight="1" x14ac:dyDescent="0.25">
      <c r="A13" s="89"/>
      <c r="B13" s="24"/>
      <c r="C13" s="745"/>
      <c r="D13" s="745"/>
      <c r="E13" s="745"/>
      <c r="F13" s="745"/>
      <c r="G13" s="745"/>
      <c r="H13" s="745"/>
      <c r="I13" s="745"/>
    </row>
    <row r="14" spans="1:9" ht="20.100000000000001" customHeight="1" x14ac:dyDescent="0.25">
      <c r="A14" s="89"/>
      <c r="B14" s="24"/>
      <c r="C14" s="718" t="s">
        <v>388</v>
      </c>
      <c r="D14" s="718"/>
      <c r="E14" s="718"/>
      <c r="F14" s="718"/>
      <c r="G14" s="718"/>
      <c r="H14" s="80"/>
      <c r="I14" s="244"/>
    </row>
    <row r="15" spans="1:9" ht="3" customHeight="1" x14ac:dyDescent="0.2">
      <c r="A15" s="89"/>
      <c r="B15" s="89"/>
      <c r="C15" s="89" t="s">
        <v>133</v>
      </c>
      <c r="D15" s="89"/>
      <c r="E15" s="89"/>
      <c r="F15" s="89"/>
      <c r="G15" s="89"/>
      <c r="H15" s="89"/>
      <c r="I15" s="89"/>
    </row>
    <row r="16" spans="1:9" s="19" customFormat="1" ht="3" customHeight="1" x14ac:dyDescent="0.2">
      <c r="A16" s="89"/>
      <c r="B16" s="89"/>
      <c r="C16" s="89"/>
      <c r="D16" s="89"/>
      <c r="E16" s="89"/>
      <c r="F16" s="89"/>
      <c r="G16" s="89"/>
      <c r="H16" s="89"/>
      <c r="I16" s="89"/>
    </row>
    <row r="17" spans="1:11" s="19" customFormat="1" ht="75" x14ac:dyDescent="0.2">
      <c r="A17" s="224"/>
      <c r="B17" s="740" t="s">
        <v>76</v>
      </c>
      <c r="C17" s="740"/>
      <c r="D17" s="225" t="s">
        <v>49</v>
      </c>
      <c r="E17" s="225" t="s">
        <v>134</v>
      </c>
      <c r="F17" s="225" t="s">
        <v>135</v>
      </c>
      <c r="G17" s="225" t="s">
        <v>136</v>
      </c>
      <c r="H17" s="225" t="s">
        <v>137</v>
      </c>
      <c r="I17" s="226"/>
    </row>
    <row r="18" spans="1:11" s="19" customFormat="1" ht="3" customHeight="1" x14ac:dyDescent="0.2">
      <c r="A18" s="227"/>
      <c r="B18" s="89"/>
      <c r="C18" s="89"/>
      <c r="D18" s="89"/>
      <c r="E18" s="89"/>
      <c r="F18" s="89"/>
      <c r="G18" s="89"/>
      <c r="H18" s="89"/>
      <c r="I18" s="228"/>
    </row>
    <row r="19" spans="1:11" s="19" customFormat="1" ht="3" customHeight="1" x14ac:dyDescent="0.2">
      <c r="A19" s="98"/>
      <c r="B19" s="229"/>
      <c r="C19" s="48"/>
      <c r="D19" s="75"/>
      <c r="E19" s="99"/>
      <c r="F19" s="49"/>
      <c r="G19" s="41"/>
      <c r="H19" s="229"/>
      <c r="I19" s="230"/>
    </row>
    <row r="20" spans="1:11" ht="15" x14ac:dyDescent="0.2">
      <c r="A20" s="103"/>
      <c r="B20" s="722" t="s">
        <v>58</v>
      </c>
      <c r="C20" s="722"/>
      <c r="D20" s="231">
        <v>0</v>
      </c>
      <c r="E20" s="231">
        <v>366011723.31</v>
      </c>
      <c r="F20" s="231">
        <f>-106584222.34-366011723.31</f>
        <v>-472595945.64999998</v>
      </c>
      <c r="G20" s="231">
        <v>0</v>
      </c>
      <c r="H20" s="232">
        <f>SUM(D20:G20)</f>
        <v>-106584222.33999997</v>
      </c>
      <c r="I20" s="230"/>
    </row>
    <row r="21" spans="1:11" ht="9.9499999999999993" customHeight="1" x14ac:dyDescent="0.2">
      <c r="A21" s="103"/>
      <c r="B21" s="233"/>
      <c r="C21" s="75"/>
      <c r="D21" s="234"/>
      <c r="E21" s="234"/>
      <c r="F21" s="234"/>
      <c r="G21" s="234"/>
      <c r="H21" s="234"/>
      <c r="I21" s="230"/>
      <c r="K21" s="360"/>
    </row>
    <row r="22" spans="1:11" ht="15" x14ac:dyDescent="0.2">
      <c r="A22" s="103"/>
      <c r="B22" s="746" t="s">
        <v>138</v>
      </c>
      <c r="C22" s="746"/>
      <c r="D22" s="235">
        <f>SUM(D23:D25)</f>
        <v>19318026978.369999</v>
      </c>
      <c r="E22" s="235">
        <f>SUM(E23:E25)</f>
        <v>0</v>
      </c>
      <c r="F22" s="235">
        <f>SUM(F23:F25)</f>
        <v>0</v>
      </c>
      <c r="G22" s="235">
        <f>SUM(G23:G25)</f>
        <v>0</v>
      </c>
      <c r="H22" s="235">
        <f>SUM(D22:G22)</f>
        <v>19318026978.369999</v>
      </c>
      <c r="I22" s="230"/>
    </row>
    <row r="23" spans="1:11" ht="15" x14ac:dyDescent="0.2">
      <c r="A23" s="98"/>
      <c r="B23" s="717" t="s">
        <v>139</v>
      </c>
      <c r="C23" s="717"/>
      <c r="D23" s="236">
        <v>19318026978.369999</v>
      </c>
      <c r="E23" s="236">
        <v>0</v>
      </c>
      <c r="F23" s="236">
        <v>0</v>
      </c>
      <c r="G23" s="236">
        <v>0</v>
      </c>
      <c r="H23" s="234">
        <f>SUM(D23:G23)</f>
        <v>19318026978.369999</v>
      </c>
      <c r="I23" s="230"/>
    </row>
    <row r="24" spans="1:11" ht="15" x14ac:dyDescent="0.2">
      <c r="A24" s="98"/>
      <c r="B24" s="717" t="s">
        <v>51</v>
      </c>
      <c r="C24" s="717"/>
      <c r="D24" s="236">
        <v>0</v>
      </c>
      <c r="E24" s="236">
        <v>0</v>
      </c>
      <c r="F24" s="236">
        <v>0</v>
      </c>
      <c r="G24" s="236">
        <v>0</v>
      </c>
      <c r="H24" s="234">
        <f t="shared" ref="H24:H30" si="0">SUM(D24:G24)</f>
        <v>0</v>
      </c>
      <c r="I24" s="230"/>
    </row>
    <row r="25" spans="1:11" ht="15" x14ac:dyDescent="0.2">
      <c r="A25" s="98"/>
      <c r="B25" s="717" t="s">
        <v>140</v>
      </c>
      <c r="C25" s="717"/>
      <c r="D25" s="236">
        <v>0</v>
      </c>
      <c r="E25" s="236">
        <v>0</v>
      </c>
      <c r="F25" s="236">
        <v>0</v>
      </c>
      <c r="G25" s="236">
        <v>0</v>
      </c>
      <c r="H25" s="234">
        <f t="shared" si="0"/>
        <v>0</v>
      </c>
      <c r="I25" s="230"/>
    </row>
    <row r="26" spans="1:11" ht="9.9499999999999993" customHeight="1" x14ac:dyDescent="0.2">
      <c r="A26" s="103"/>
      <c r="B26" s="233"/>
      <c r="C26" s="75"/>
      <c r="D26" s="234"/>
      <c r="E26" s="234"/>
      <c r="F26" s="234"/>
      <c r="G26" s="234"/>
      <c r="H26" s="234"/>
      <c r="I26" s="230"/>
    </row>
    <row r="27" spans="1:11" ht="15" x14ac:dyDescent="0.2">
      <c r="A27" s="103"/>
      <c r="B27" s="746" t="s">
        <v>141</v>
      </c>
      <c r="C27" s="746"/>
      <c r="D27" s="235">
        <f>SUM(D28:D31)</f>
        <v>0</v>
      </c>
      <c r="E27" s="235">
        <f>SUM(E28:E31)</f>
        <v>-36624897411.520004</v>
      </c>
      <c r="F27" s="235">
        <f>SUM(F28:F31)</f>
        <v>0</v>
      </c>
      <c r="G27" s="235">
        <f>SUM(G28:G31)</f>
        <v>0</v>
      </c>
      <c r="H27" s="235">
        <f>SUM(D27:G27)</f>
        <v>-36624897411.520004</v>
      </c>
      <c r="I27" s="230"/>
    </row>
    <row r="28" spans="1:11" ht="15" x14ac:dyDescent="0.2">
      <c r="A28" s="98"/>
      <c r="B28" s="717" t="s">
        <v>142</v>
      </c>
      <c r="C28" s="717"/>
      <c r="D28" s="236">
        <v>0</v>
      </c>
      <c r="E28" s="236">
        <v>838009765.71000004</v>
      </c>
      <c r="F28" s="236">
        <v>0</v>
      </c>
      <c r="G28" s="236">
        <v>0</v>
      </c>
      <c r="H28" s="234">
        <f>SUM(D28:G28)</f>
        <v>838009765.71000004</v>
      </c>
      <c r="I28" s="230"/>
    </row>
    <row r="29" spans="1:11" ht="15" x14ac:dyDescent="0.2">
      <c r="A29" s="98"/>
      <c r="B29" s="717" t="s">
        <v>55</v>
      </c>
      <c r="C29" s="717"/>
      <c r="D29" s="236">
        <v>0</v>
      </c>
      <c r="E29" s="236">
        <v>-37462907177.230003</v>
      </c>
      <c r="F29" s="236">
        <v>0</v>
      </c>
      <c r="G29" s="236">
        <v>0</v>
      </c>
      <c r="H29" s="234">
        <f>SUM(D29:G29)</f>
        <v>-37462907177.230003</v>
      </c>
      <c r="I29" s="230"/>
    </row>
    <row r="30" spans="1:11" ht="15" x14ac:dyDescent="0.2">
      <c r="A30" s="98"/>
      <c r="B30" s="717" t="s">
        <v>143</v>
      </c>
      <c r="C30" s="717"/>
      <c r="D30" s="236">
        <v>0</v>
      </c>
      <c r="E30" s="236">
        <v>0</v>
      </c>
      <c r="F30" s="236">
        <v>0</v>
      </c>
      <c r="G30" s="236">
        <v>0</v>
      </c>
      <c r="H30" s="234">
        <f t="shared" si="0"/>
        <v>0</v>
      </c>
      <c r="I30" s="230"/>
    </row>
    <row r="31" spans="1:11" ht="15" x14ac:dyDescent="0.2">
      <c r="A31" s="98"/>
      <c r="B31" s="717" t="s">
        <v>57</v>
      </c>
      <c r="C31" s="717"/>
      <c r="D31" s="236">
        <v>0</v>
      </c>
      <c r="E31" s="236">
        <v>0</v>
      </c>
      <c r="F31" s="236">
        <v>0</v>
      </c>
      <c r="G31" s="236">
        <v>0</v>
      </c>
      <c r="H31" s="234">
        <f t="shared" ref="H31" si="1">SUM(D31:G31)</f>
        <v>0</v>
      </c>
      <c r="I31" s="230"/>
      <c r="J31" s="360"/>
    </row>
    <row r="32" spans="1:11" ht="9.9499999999999993" customHeight="1" x14ac:dyDescent="0.2">
      <c r="A32" s="103"/>
      <c r="B32" s="233"/>
      <c r="C32" s="75"/>
      <c r="D32" s="234"/>
      <c r="E32" s="234"/>
      <c r="F32" s="234"/>
      <c r="G32" s="234"/>
      <c r="H32" s="234"/>
      <c r="I32" s="230"/>
    </row>
    <row r="33" spans="1:11" ht="15.75" thickBot="1" x14ac:dyDescent="0.25">
      <c r="A33" s="103"/>
      <c r="B33" s="747" t="s">
        <v>794</v>
      </c>
      <c r="C33" s="747"/>
      <c r="D33" s="237">
        <f>D20+D22+D27</f>
        <v>19318026978.369999</v>
      </c>
      <c r="E33" s="237">
        <f>E20+E22+E27</f>
        <v>-36258885688.210007</v>
      </c>
      <c r="F33" s="237">
        <f>+F22+F27</f>
        <v>0</v>
      </c>
      <c r="G33" s="237">
        <f>G20+G22+G27</f>
        <v>0</v>
      </c>
      <c r="H33" s="237">
        <f>SUM(D33:G33)</f>
        <v>-16940858709.840008</v>
      </c>
      <c r="I33" s="230"/>
      <c r="J33" s="648"/>
      <c r="K33" s="238"/>
    </row>
    <row r="34" spans="1:11" ht="15" x14ac:dyDescent="0.2">
      <c r="A34" s="98"/>
      <c r="B34" s="75"/>
      <c r="C34" s="49"/>
      <c r="D34" s="234"/>
      <c r="E34" s="234"/>
      <c r="F34" s="234"/>
      <c r="G34" s="234"/>
      <c r="H34" s="234"/>
      <c r="I34" s="230"/>
      <c r="J34" s="360"/>
    </row>
    <row r="35" spans="1:11" ht="15" x14ac:dyDescent="0.2">
      <c r="A35" s="103"/>
      <c r="B35" s="746" t="s">
        <v>760</v>
      </c>
      <c r="C35" s="746"/>
      <c r="D35" s="235">
        <f>SUM(D36:D38)</f>
        <v>0</v>
      </c>
      <c r="E35" s="235">
        <f>SUM(E36:E38)</f>
        <v>0</v>
      </c>
      <c r="F35" s="235">
        <f>SUM(F36:F38)</f>
        <v>0</v>
      </c>
      <c r="G35" s="235">
        <f>SUM(G36:G38)</f>
        <v>0</v>
      </c>
      <c r="H35" s="235">
        <f>SUM(D35:G35)</f>
        <v>0</v>
      </c>
      <c r="I35" s="230"/>
      <c r="K35" s="360"/>
    </row>
    <row r="36" spans="1:11" ht="15" x14ac:dyDescent="0.2">
      <c r="A36" s="98"/>
      <c r="B36" s="717" t="s">
        <v>50</v>
      </c>
      <c r="C36" s="717"/>
      <c r="D36" s="236">
        <v>0</v>
      </c>
      <c r="E36" s="236">
        <v>0</v>
      </c>
      <c r="F36" s="236">
        <v>0</v>
      </c>
      <c r="G36" s="236">
        <v>0</v>
      </c>
      <c r="H36" s="234">
        <f>SUM(D36:G36)</f>
        <v>0</v>
      </c>
      <c r="I36" s="230"/>
    </row>
    <row r="37" spans="1:11" ht="15" x14ac:dyDescent="0.2">
      <c r="A37" s="98"/>
      <c r="B37" s="717" t="s">
        <v>51</v>
      </c>
      <c r="C37" s="717"/>
      <c r="D37" s="236">
        <v>0</v>
      </c>
      <c r="E37" s="236">
        <v>0</v>
      </c>
      <c r="F37" s="236">
        <v>0</v>
      </c>
      <c r="G37" s="236">
        <v>0</v>
      </c>
      <c r="H37" s="234">
        <f>SUM(D37:G37)</f>
        <v>0</v>
      </c>
      <c r="I37" s="230"/>
    </row>
    <row r="38" spans="1:11" ht="15" x14ac:dyDescent="0.2">
      <c r="A38" s="98"/>
      <c r="B38" s="717" t="s">
        <v>140</v>
      </c>
      <c r="C38" s="717"/>
      <c r="D38" s="236">
        <v>0</v>
      </c>
      <c r="E38" s="236">
        <v>0</v>
      </c>
      <c r="F38" s="236">
        <v>0</v>
      </c>
      <c r="G38" s="236">
        <v>0</v>
      </c>
      <c r="H38" s="234">
        <f>SUM(D38:G38)</f>
        <v>0</v>
      </c>
      <c r="I38" s="230"/>
    </row>
    <row r="39" spans="1:11" ht="9.9499999999999993" customHeight="1" x14ac:dyDescent="0.2">
      <c r="A39" s="103"/>
      <c r="B39" s="233"/>
      <c r="C39" s="75"/>
      <c r="D39" s="234"/>
      <c r="E39" s="234"/>
      <c r="F39" s="234"/>
      <c r="G39" s="234"/>
      <c r="H39" s="234"/>
      <c r="I39" s="230"/>
    </row>
    <row r="40" spans="1:11" ht="15" x14ac:dyDescent="0.2">
      <c r="A40" s="103" t="s">
        <v>133</v>
      </c>
      <c r="B40" s="746" t="s">
        <v>141</v>
      </c>
      <c r="C40" s="746"/>
      <c r="D40" s="235">
        <f>SUM(D41:D44)</f>
        <v>0</v>
      </c>
      <c r="E40" s="235">
        <f>SUM(E41:E44)</f>
        <v>0</v>
      </c>
      <c r="F40" s="235">
        <f>SUM(F41:F44)+F20</f>
        <v>19414037659.43</v>
      </c>
      <c r="G40" s="235">
        <f>SUM(G41:G44)</f>
        <v>0</v>
      </c>
      <c r="H40" s="235">
        <f>SUM(D40:G40)</f>
        <v>19414037659.43</v>
      </c>
      <c r="I40" s="230"/>
      <c r="K40" s="360"/>
    </row>
    <row r="41" spans="1:11" ht="15" x14ac:dyDescent="0.2">
      <c r="A41" s="98"/>
      <c r="B41" s="717" t="s">
        <v>142</v>
      </c>
      <c r="C41" s="717"/>
      <c r="D41" s="236">
        <v>0</v>
      </c>
      <c r="E41" s="236">
        <v>0</v>
      </c>
      <c r="F41" s="236">
        <v>2054978217.0799999</v>
      </c>
      <c r="G41" s="236">
        <v>0</v>
      </c>
      <c r="H41" s="234">
        <f>SUM(D41:G41)</f>
        <v>2054978217.0799999</v>
      </c>
      <c r="I41" s="230"/>
      <c r="K41" s="360"/>
    </row>
    <row r="42" spans="1:11" ht="15" x14ac:dyDescent="0.2">
      <c r="A42" s="98"/>
      <c r="B42" s="717" t="s">
        <v>55</v>
      </c>
      <c r="C42" s="717"/>
      <c r="D42" s="236">
        <v>0</v>
      </c>
      <c r="E42" s="236">
        <v>0</v>
      </c>
      <c r="F42" s="236">
        <v>0</v>
      </c>
      <c r="G42" s="236">
        <v>0</v>
      </c>
      <c r="H42" s="234">
        <f>SUM(D42:G42)</f>
        <v>0</v>
      </c>
      <c r="I42" s="230"/>
      <c r="K42" s="360"/>
    </row>
    <row r="43" spans="1:11" ht="15" x14ac:dyDescent="0.2">
      <c r="A43" s="98"/>
      <c r="B43" s="717" t="s">
        <v>143</v>
      </c>
      <c r="C43" s="717"/>
      <c r="D43" s="236">
        <v>0</v>
      </c>
      <c r="E43" s="236">
        <v>0</v>
      </c>
      <c r="F43" s="236">
        <v>17831655388.000004</v>
      </c>
      <c r="G43" s="236">
        <v>0</v>
      </c>
      <c r="H43" s="234">
        <f>SUM(D43:G43)</f>
        <v>17831655388.000004</v>
      </c>
      <c r="I43" s="230"/>
    </row>
    <row r="44" spans="1:11" ht="15" x14ac:dyDescent="0.2">
      <c r="A44" s="98"/>
      <c r="B44" s="717" t="s">
        <v>57</v>
      </c>
      <c r="C44" s="717"/>
      <c r="D44" s="236">
        <v>0</v>
      </c>
      <c r="E44" s="236">
        <v>0</v>
      </c>
      <c r="F44" s="236">
        <v>0</v>
      </c>
      <c r="G44" s="236">
        <v>0</v>
      </c>
      <c r="H44" s="234">
        <f>SUM(D44:G44)</f>
        <v>0</v>
      </c>
      <c r="I44" s="230"/>
      <c r="J44" s="361"/>
    </row>
    <row r="45" spans="1:11" ht="9.9499999999999993" customHeight="1" x14ac:dyDescent="0.2">
      <c r="A45" s="103"/>
      <c r="B45" s="233"/>
      <c r="C45" s="75"/>
      <c r="D45" s="234"/>
      <c r="E45" s="234"/>
      <c r="F45" s="234"/>
      <c r="G45" s="234"/>
      <c r="H45" s="234"/>
      <c r="I45" s="230"/>
      <c r="J45" s="360"/>
      <c r="K45" s="374"/>
    </row>
    <row r="46" spans="1:11" ht="15" x14ac:dyDescent="0.2">
      <c r="A46" s="239"/>
      <c r="B46" s="748" t="s">
        <v>792</v>
      </c>
      <c r="C46" s="748"/>
      <c r="D46" s="240">
        <f>D33+D35+D40</f>
        <v>19318026978.369999</v>
      </c>
      <c r="E46" s="240">
        <f>E33+E35+E40</f>
        <v>-36258885688.210007</v>
      </c>
      <c r="F46" s="240">
        <f>F35+F40</f>
        <v>19414037659.43</v>
      </c>
      <c r="G46" s="240">
        <f>G33+G35+G40</f>
        <v>0</v>
      </c>
      <c r="H46" s="240">
        <f>SUM(D46:G46)</f>
        <v>2473178949.5899925</v>
      </c>
      <c r="I46" s="241"/>
      <c r="J46" s="360"/>
      <c r="K46" s="238"/>
    </row>
    <row r="47" spans="1:11" ht="6" customHeight="1" x14ac:dyDescent="0.2">
      <c r="A47" s="242"/>
      <c r="B47" s="242"/>
      <c r="C47" s="242"/>
      <c r="D47" s="242"/>
      <c r="E47" s="242"/>
      <c r="F47" s="242"/>
      <c r="G47" s="242"/>
      <c r="H47" s="242"/>
      <c r="I47" s="243"/>
      <c r="J47" s="360"/>
    </row>
    <row r="48" spans="1:11" ht="6" customHeight="1" x14ac:dyDescent="0.2">
      <c r="D48" s="222"/>
      <c r="E48" s="222"/>
      <c r="I48" s="48"/>
    </row>
    <row r="49" spans="1:11" ht="15" customHeight="1" x14ac:dyDescent="0.2">
      <c r="A49" s="19"/>
      <c r="B49" s="728" t="s">
        <v>78</v>
      </c>
      <c r="C49" s="728"/>
      <c r="D49" s="728"/>
      <c r="E49" s="728"/>
      <c r="F49" s="728"/>
      <c r="G49" s="728"/>
      <c r="H49" s="728"/>
      <c r="I49" s="728"/>
      <c r="J49" s="40"/>
      <c r="K49" s="408"/>
    </row>
    <row r="50" spans="1:11" x14ac:dyDescent="0.2">
      <c r="A50" s="19"/>
      <c r="B50" s="49"/>
      <c r="C50" s="70"/>
      <c r="D50" s="71"/>
      <c r="E50" s="71"/>
      <c r="F50" s="19"/>
      <c r="G50" s="72"/>
      <c r="H50" s="359"/>
      <c r="I50" s="71"/>
      <c r="J50" s="71"/>
    </row>
    <row r="51" spans="1:11" ht="50.1" customHeight="1" x14ac:dyDescent="0.2">
      <c r="A51" s="19"/>
      <c r="B51" s="49"/>
      <c r="C51" s="727"/>
      <c r="D51" s="727"/>
      <c r="E51" s="71"/>
      <c r="F51" s="62"/>
      <c r="G51" s="749"/>
      <c r="H51" s="726"/>
      <c r="I51" s="71"/>
      <c r="J51" s="71"/>
    </row>
    <row r="52" spans="1:11" ht="14.1" customHeight="1" x14ac:dyDescent="0.2">
      <c r="A52" s="19"/>
      <c r="B52" s="74"/>
      <c r="C52" s="725" t="s">
        <v>403</v>
      </c>
      <c r="D52" s="725"/>
      <c r="E52" s="71"/>
      <c r="F52" s="724" t="s">
        <v>474</v>
      </c>
      <c r="G52" s="724"/>
      <c r="H52" s="724"/>
      <c r="I52" s="75"/>
      <c r="J52" s="71"/>
    </row>
    <row r="53" spans="1:11" ht="14.1" customHeight="1" x14ac:dyDescent="0.2">
      <c r="A53" s="19"/>
      <c r="B53" s="76"/>
      <c r="C53" s="723" t="s">
        <v>402</v>
      </c>
      <c r="D53" s="723"/>
      <c r="E53" s="77"/>
      <c r="F53" s="723" t="s">
        <v>475</v>
      </c>
      <c r="G53" s="723"/>
      <c r="H53" s="723"/>
      <c r="I53" s="75"/>
      <c r="J53" s="71"/>
    </row>
  </sheetData>
  <sheetProtection formatCells="0" selectLockedCells="1"/>
  <mergeCells count="38">
    <mergeCell ref="B44:C44"/>
    <mergeCell ref="C53:D53"/>
    <mergeCell ref="B46:C46"/>
    <mergeCell ref="B49:I49"/>
    <mergeCell ref="C51:D51"/>
    <mergeCell ref="G51:H51"/>
    <mergeCell ref="C52:D52"/>
    <mergeCell ref="F52:H52"/>
    <mergeCell ref="F53:H53"/>
    <mergeCell ref="B38:C38"/>
    <mergeCell ref="B40:C40"/>
    <mergeCell ref="B41:C41"/>
    <mergeCell ref="B42:C42"/>
    <mergeCell ref="B43:C43"/>
    <mergeCell ref="B30:C30"/>
    <mergeCell ref="B33:C33"/>
    <mergeCell ref="B35:C35"/>
    <mergeCell ref="B36:C36"/>
    <mergeCell ref="B37:C37"/>
    <mergeCell ref="B31:C31"/>
    <mergeCell ref="B29:C29"/>
    <mergeCell ref="C12:G12"/>
    <mergeCell ref="C13:I13"/>
    <mergeCell ref="C14:G14"/>
    <mergeCell ref="B17:C17"/>
    <mergeCell ref="B20:C20"/>
    <mergeCell ref="B22:C22"/>
    <mergeCell ref="B23:C23"/>
    <mergeCell ref="B24:C24"/>
    <mergeCell ref="B25:C25"/>
    <mergeCell ref="B27:C27"/>
    <mergeCell ref="B28:C28"/>
    <mergeCell ref="C11:G11"/>
    <mergeCell ref="D7:E7"/>
    <mergeCell ref="F7:G7"/>
    <mergeCell ref="H7:I7"/>
    <mergeCell ref="C9:G9"/>
    <mergeCell ref="C10:G10"/>
  </mergeCells>
  <printOptions verticalCentered="1"/>
  <pageMargins left="0.75" right="0.56000000000000005" top="0.38" bottom="0.59055118110236227" header="0" footer="0"/>
  <pageSetup scale="7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P173"/>
  <sheetViews>
    <sheetView zoomScale="80" zoomScaleNormal="80" zoomScalePageLayoutView="80" workbookViewId="0">
      <selection activeCell="D39" sqref="D39:E39"/>
    </sheetView>
  </sheetViews>
  <sheetFormatPr baseColWidth="10" defaultRowHeight="14.25" x14ac:dyDescent="0.2"/>
  <cols>
    <col min="1" max="1" width="6.5703125" style="17" customWidth="1"/>
    <col min="2" max="2" width="2.85546875" style="17" customWidth="1"/>
    <col min="3" max="3" width="4.5703125" style="17" customWidth="1"/>
    <col min="4" max="4" width="24.7109375" style="17" customWidth="1"/>
    <col min="5" max="5" width="40" style="17" customWidth="1"/>
    <col min="6" max="7" width="18.7109375" style="17" customWidth="1"/>
    <col min="8" max="8" width="10.7109375" style="17" customWidth="1"/>
    <col min="9" max="9" width="24.7109375" style="17" customWidth="1"/>
    <col min="10" max="10" width="29.7109375" style="116" customWidth="1"/>
    <col min="11" max="12" width="18.7109375" style="17" customWidth="1"/>
    <col min="13" max="13" width="6.5703125" style="17" customWidth="1"/>
    <col min="14" max="14" width="4.85546875" style="17" customWidth="1"/>
    <col min="15" max="16" width="15.28515625" style="17" bestFit="1" customWidth="1"/>
    <col min="17" max="16384" width="11.42578125" style="17"/>
  </cols>
  <sheetData>
    <row r="7" spans="3:13" ht="6" customHeight="1" x14ac:dyDescent="0.2">
      <c r="C7" s="117"/>
      <c r="D7" s="83"/>
      <c r="E7" s="118"/>
      <c r="F7" s="85"/>
      <c r="G7" s="85"/>
      <c r="H7" s="118"/>
      <c r="I7" s="118"/>
      <c r="J7" s="119"/>
      <c r="K7" s="83"/>
      <c r="L7" s="83"/>
      <c r="M7" s="83"/>
    </row>
    <row r="8" spans="3:13" s="19" customFormat="1" ht="6" customHeight="1" x14ac:dyDescent="0.2">
      <c r="E8" s="41"/>
      <c r="J8" s="120"/>
    </row>
    <row r="9" spans="3:13" ht="14.1" customHeight="1" x14ac:dyDescent="0.25">
      <c r="C9" s="26"/>
      <c r="E9" s="741" t="str">
        <f>+'Edo Variacion Hacienda Publica'!C9</f>
        <v>Cuenta Pública 2016</v>
      </c>
      <c r="F9" s="741"/>
      <c r="G9" s="741"/>
      <c r="H9" s="741"/>
      <c r="I9" s="741"/>
      <c r="J9" s="741"/>
      <c r="K9" s="741"/>
      <c r="L9" s="20"/>
      <c r="M9" s="20"/>
    </row>
    <row r="10" spans="3:13" ht="14.1" customHeight="1" x14ac:dyDescent="0.25">
      <c r="C10" s="21"/>
      <c r="E10" s="741" t="s">
        <v>66</v>
      </c>
      <c r="F10" s="741"/>
      <c r="G10" s="741"/>
      <c r="H10" s="741"/>
      <c r="I10" s="741"/>
      <c r="J10" s="741"/>
      <c r="K10" s="741"/>
      <c r="L10" s="21"/>
      <c r="M10" s="21"/>
    </row>
    <row r="11" spans="3:13" ht="14.1" customHeight="1" x14ac:dyDescent="0.25">
      <c r="C11" s="22"/>
      <c r="E11" s="741" t="str">
        <f>+'Edo Variacion Hacienda Publica'!C11</f>
        <v>Del 1 de enero al 31 de diciembre de 2016</v>
      </c>
      <c r="F11" s="741"/>
      <c r="G11" s="741"/>
      <c r="H11" s="741"/>
      <c r="I11" s="741"/>
      <c r="J11" s="741"/>
      <c r="K11" s="741"/>
      <c r="L11" s="21"/>
      <c r="M11" s="21"/>
    </row>
    <row r="12" spans="3:13" ht="14.1" customHeight="1" x14ac:dyDescent="0.25">
      <c r="C12" s="22"/>
      <c r="E12" s="741" t="s">
        <v>1</v>
      </c>
      <c r="F12" s="741"/>
      <c r="G12" s="741"/>
      <c r="H12" s="741"/>
      <c r="I12" s="741"/>
      <c r="J12" s="741"/>
      <c r="K12" s="741"/>
      <c r="L12" s="21"/>
      <c r="M12" s="21"/>
    </row>
    <row r="13" spans="3:13" ht="20.100000000000001" customHeight="1" x14ac:dyDescent="0.25">
      <c r="C13" s="22"/>
      <c r="D13" s="24"/>
      <c r="E13" s="750" t="s">
        <v>388</v>
      </c>
      <c r="F13" s="750"/>
      <c r="G13" s="750"/>
      <c r="H13" s="750"/>
      <c r="I13" s="750"/>
      <c r="J13" s="750"/>
      <c r="K13" s="750"/>
      <c r="L13" s="346"/>
    </row>
    <row r="14" spans="3:13" ht="3" customHeight="1" x14ac:dyDescent="0.25">
      <c r="C14" s="20"/>
      <c r="D14" s="20"/>
      <c r="E14" s="20"/>
      <c r="F14" s="20"/>
      <c r="G14" s="20"/>
      <c r="H14" s="20"/>
    </row>
    <row r="15" spans="3:13" s="19" customFormat="1" ht="3" customHeight="1" x14ac:dyDescent="0.25">
      <c r="C15" s="22"/>
      <c r="D15" s="25"/>
      <c r="E15" s="25"/>
      <c r="F15" s="25"/>
      <c r="G15" s="25"/>
      <c r="H15" s="23"/>
      <c r="J15" s="120"/>
    </row>
    <row r="16" spans="3:13" s="19" customFormat="1" ht="3" customHeight="1" x14ac:dyDescent="0.2">
      <c r="C16" s="27"/>
      <c r="D16" s="27"/>
      <c r="E16" s="27"/>
      <c r="F16" s="28"/>
      <c r="G16" s="28"/>
      <c r="H16" s="29"/>
      <c r="J16" s="120"/>
    </row>
    <row r="17" spans="3:16" s="19" customFormat="1" ht="20.100000000000001" customHeight="1" x14ac:dyDescent="0.2">
      <c r="C17" s="121"/>
      <c r="D17" s="740" t="s">
        <v>76</v>
      </c>
      <c r="E17" s="740"/>
      <c r="F17" s="31" t="s">
        <v>67</v>
      </c>
      <c r="G17" s="31" t="s">
        <v>68</v>
      </c>
      <c r="H17" s="32"/>
      <c r="I17" s="740" t="s">
        <v>76</v>
      </c>
      <c r="J17" s="740"/>
      <c r="K17" s="31" t="s">
        <v>67</v>
      </c>
      <c r="L17" s="31" t="s">
        <v>68</v>
      </c>
      <c r="M17" s="33"/>
    </row>
    <row r="18" spans="3:16" ht="3" customHeight="1" x14ac:dyDescent="0.2">
      <c r="C18" s="35"/>
      <c r="D18" s="36"/>
      <c r="E18" s="36"/>
      <c r="F18" s="37"/>
      <c r="G18" s="37"/>
      <c r="H18" s="26"/>
      <c r="I18" s="19"/>
      <c r="J18" s="120"/>
      <c r="K18" s="19"/>
      <c r="L18" s="19"/>
      <c r="M18" s="38"/>
    </row>
    <row r="19" spans="3:16" s="19" customFormat="1" ht="3" customHeight="1" x14ac:dyDescent="0.25">
      <c r="C19" s="98"/>
      <c r="D19" s="122"/>
      <c r="E19" s="122"/>
      <c r="F19" s="123"/>
      <c r="G19" s="123"/>
      <c r="H19" s="41"/>
      <c r="J19" s="120"/>
      <c r="M19" s="38"/>
    </row>
    <row r="20" spans="3:16" ht="15" x14ac:dyDescent="0.2">
      <c r="C20" s="46"/>
      <c r="D20" s="722" t="s">
        <v>6</v>
      </c>
      <c r="E20" s="722"/>
      <c r="F20" s="124"/>
      <c r="G20" s="124">
        <f>+G22+G32-F22</f>
        <v>18670555880.839996</v>
      </c>
      <c r="H20" s="41"/>
      <c r="I20" s="722" t="s">
        <v>7</v>
      </c>
      <c r="J20" s="722"/>
      <c r="K20" s="124"/>
      <c r="L20" s="124">
        <f>+L33-K22</f>
        <v>743481778.56999636</v>
      </c>
      <c r="M20" s="38"/>
      <c r="O20" s="360"/>
      <c r="P20" s="360"/>
    </row>
    <row r="21" spans="3:16" ht="15" x14ac:dyDescent="0.2">
      <c r="C21" s="43"/>
      <c r="D21" s="48"/>
      <c r="E21" s="75"/>
      <c r="F21" s="125"/>
      <c r="G21" s="125"/>
      <c r="H21" s="41"/>
      <c r="I21" s="417"/>
      <c r="J21" s="48"/>
      <c r="K21" s="125"/>
      <c r="L21" s="125"/>
      <c r="M21" s="38"/>
    </row>
    <row r="22" spans="3:16" ht="15" x14ac:dyDescent="0.2">
      <c r="C22" s="43"/>
      <c r="D22" s="722" t="s">
        <v>8</v>
      </c>
      <c r="E22" s="722"/>
      <c r="F22" s="124">
        <f>SUM(F24:F30)</f>
        <v>28576878.18</v>
      </c>
      <c r="G22" s="124">
        <f>SUM(G24:G30)</f>
        <v>264518475.66000009</v>
      </c>
      <c r="H22" s="41"/>
      <c r="I22" s="722" t="s">
        <v>9</v>
      </c>
      <c r="J22" s="722"/>
      <c r="K22" s="124">
        <f>SUM(K24:K31)</f>
        <v>276303633.01999998</v>
      </c>
      <c r="L22" s="124">
        <f>SUM(L24:L31)</f>
        <v>0</v>
      </c>
      <c r="M22" s="38"/>
    </row>
    <row r="23" spans="3:16" ht="15" x14ac:dyDescent="0.2">
      <c r="C23" s="43"/>
      <c r="D23" s="48"/>
      <c r="E23" s="75"/>
      <c r="F23" s="125"/>
      <c r="G23" s="125"/>
      <c r="H23" s="41"/>
      <c r="I23" s="48"/>
      <c r="J23" s="48"/>
      <c r="K23" s="125"/>
      <c r="L23" s="125"/>
      <c r="M23" s="38"/>
    </row>
    <row r="24" spans="3:16" x14ac:dyDescent="0.2">
      <c r="C24" s="46"/>
      <c r="D24" s="717" t="s">
        <v>10</v>
      </c>
      <c r="E24" s="717"/>
      <c r="F24" s="126">
        <f>IF('Edo de Cambios en la Sit Fin'!D113&lt;'Edo de Cambios en la Sit Fin'!E113,'Edo de Cambios en la Sit Fin'!E113-'Edo de Cambios en la Sit Fin'!D113,0)</f>
        <v>0</v>
      </c>
      <c r="G24" s="126">
        <f>IF(F24&gt;0,0,'Edo de Cambios en la Sit Fin'!D113-'Edo de Cambios en la Sit Fin'!E113)</f>
        <v>43351409.730000019</v>
      </c>
      <c r="H24" s="41"/>
      <c r="I24" s="717" t="s">
        <v>11</v>
      </c>
      <c r="J24" s="717"/>
      <c r="K24" s="126">
        <f>IF('Edo de Cambios en la Sit Fin'!I113&gt;'Edo de Cambios en la Sit Fin'!J113,'Edo de Cambios en la Sit Fin'!I113-'Edo de Cambios en la Sit Fin'!J113,0)</f>
        <v>274710472.01999998</v>
      </c>
      <c r="L24" s="126">
        <f>IF(K24&gt;0,0,'Edo de Cambios en la Sit Fin'!J113-'Edo de Cambios en la Sit Fin'!I113)</f>
        <v>0</v>
      </c>
      <c r="M24" s="38"/>
      <c r="O24" s="360"/>
    </row>
    <row r="25" spans="3:16" x14ac:dyDescent="0.2">
      <c r="C25" s="46"/>
      <c r="D25" s="717" t="s">
        <v>12</v>
      </c>
      <c r="E25" s="717"/>
      <c r="F25" s="126">
        <f>IF('Edo de Cambios en la Sit Fin'!D114&lt;'Edo de Cambios en la Sit Fin'!E114,'Edo de Cambios en la Sit Fin'!E114-'Edo de Cambios en la Sit Fin'!D114,0)</f>
        <v>0</v>
      </c>
      <c r="G25" s="126">
        <f>IF(F25&gt;0,0,'Edo de Cambios en la Sit Fin'!D114-'Edo de Cambios en la Sit Fin'!E114)</f>
        <v>221167065.93000007</v>
      </c>
      <c r="H25" s="41"/>
      <c r="I25" s="717" t="s">
        <v>13</v>
      </c>
      <c r="J25" s="717"/>
      <c r="K25" s="126">
        <f>IF('Edo de Cambios en la Sit Fin'!I114&gt;'Edo de Cambios en la Sit Fin'!J114,'Edo de Cambios en la Sit Fin'!I114-'Edo de Cambios en la Sit Fin'!J114,0)</f>
        <v>0</v>
      </c>
      <c r="L25" s="126">
        <f>IF(K25&gt;0,0,'Edo de Cambios en la Sit Fin'!J114-'Edo de Cambios en la Sit Fin'!I114)</f>
        <v>0</v>
      </c>
      <c r="M25" s="38"/>
    </row>
    <row r="26" spans="3:16" x14ac:dyDescent="0.2">
      <c r="C26" s="46"/>
      <c r="D26" s="717" t="s">
        <v>14</v>
      </c>
      <c r="E26" s="717"/>
      <c r="F26" s="126">
        <f>IF('Edo de Cambios en la Sit Fin'!D115&lt;'Edo de Cambios en la Sit Fin'!E115,'Edo de Cambios en la Sit Fin'!E115-'Edo de Cambios en la Sit Fin'!D115,0)</f>
        <v>4984442.4399999995</v>
      </c>
      <c r="G26" s="126">
        <f>IF(F26&gt;0,0,'Edo de Cambios en la Sit Fin'!D115-'Edo de Cambios en la Sit Fin'!E115)</f>
        <v>0</v>
      </c>
      <c r="H26" s="41"/>
      <c r="I26" s="717" t="s">
        <v>15</v>
      </c>
      <c r="J26" s="717"/>
      <c r="K26" s="126">
        <f>IF('Edo de Cambios en la Sit Fin'!I115&gt;'Edo de Cambios en la Sit Fin'!J115,'Edo de Cambios en la Sit Fin'!I115-'Edo de Cambios en la Sit Fin'!J115,0)</f>
        <v>0</v>
      </c>
      <c r="L26" s="126">
        <f>IF(K26&gt;0,0,'Edo de Cambios en la Sit Fin'!J115-'Edo de Cambios en la Sit Fin'!I115)</f>
        <v>0</v>
      </c>
      <c r="M26" s="38"/>
    </row>
    <row r="27" spans="3:16" x14ac:dyDescent="0.2">
      <c r="C27" s="46"/>
      <c r="D27" s="717" t="s">
        <v>16</v>
      </c>
      <c r="E27" s="717"/>
      <c r="F27" s="126">
        <f>IF('Edo de Cambios en la Sit Fin'!D116&lt;'Edo de Cambios en la Sit Fin'!E116,'Edo de Cambios en la Sit Fin'!E116-'Edo de Cambios en la Sit Fin'!D116,0)</f>
        <v>0</v>
      </c>
      <c r="G27" s="126">
        <f>IF(F27&gt;0,0,'Edo de Cambios en la Sit Fin'!D116-'Edo de Cambios en la Sit Fin'!E116)</f>
        <v>0</v>
      </c>
      <c r="H27" s="41"/>
      <c r="I27" s="717" t="s">
        <v>17</v>
      </c>
      <c r="J27" s="717"/>
      <c r="K27" s="126">
        <f>IF('Edo de Cambios en la Sit Fin'!I116&gt;'Edo de Cambios en la Sit Fin'!J116,'Edo de Cambios en la Sit Fin'!I116-'Edo de Cambios en la Sit Fin'!J116,0)</f>
        <v>0</v>
      </c>
      <c r="L27" s="126">
        <f>IF(K27&gt;0,0,'Edo de Cambios en la Sit Fin'!J116-'Edo de Cambios en la Sit Fin'!I116)</f>
        <v>0</v>
      </c>
      <c r="M27" s="38"/>
      <c r="P27" s="360"/>
    </row>
    <row r="28" spans="3:16" x14ac:dyDescent="0.2">
      <c r="C28" s="46"/>
      <c r="D28" s="717" t="s">
        <v>18</v>
      </c>
      <c r="E28" s="717"/>
      <c r="F28" s="126">
        <f>IF('Edo de Cambios en la Sit Fin'!D117&lt;'Edo de Cambios en la Sit Fin'!E117,'Edo de Cambios en la Sit Fin'!E117-'Edo de Cambios en la Sit Fin'!D117,0)</f>
        <v>23592435.740000002</v>
      </c>
      <c r="G28" s="126">
        <f>IF(F28&gt;0,0,'Edo de Cambios en la Sit Fin'!D117-'Edo de Cambios en la Sit Fin'!E117)</f>
        <v>0</v>
      </c>
      <c r="H28" s="41"/>
      <c r="I28" s="717" t="s">
        <v>19</v>
      </c>
      <c r="J28" s="717"/>
      <c r="K28" s="126">
        <f>IF('Edo de Cambios en la Sit Fin'!I117&gt;'Edo de Cambios en la Sit Fin'!J117,'Edo de Cambios en la Sit Fin'!I117-'Edo de Cambios en la Sit Fin'!J117,0)</f>
        <v>0</v>
      </c>
      <c r="L28" s="126">
        <f>IF(K28&gt;0,0,'Edo de Cambios en la Sit Fin'!J117-'Edo de Cambios en la Sit Fin'!I117)</f>
        <v>0</v>
      </c>
      <c r="M28" s="38"/>
    </row>
    <row r="29" spans="3:16" ht="33" customHeight="1" x14ac:dyDescent="0.2">
      <c r="C29" s="46"/>
      <c r="D29" s="717" t="s">
        <v>20</v>
      </c>
      <c r="E29" s="717"/>
      <c r="F29" s="126">
        <f>IF('Edo de Cambios en la Sit Fin'!D118&lt;'Edo de Cambios en la Sit Fin'!E118,'Edo de Cambios en la Sit Fin'!E118-'Edo de Cambios en la Sit Fin'!D118,0)</f>
        <v>0</v>
      </c>
      <c r="G29" s="126">
        <f>IF(F29&gt;0,0,'Edo de Cambios en la Sit Fin'!D118-'Edo de Cambios en la Sit Fin'!E118)</f>
        <v>0</v>
      </c>
      <c r="H29" s="41"/>
      <c r="I29" s="720" t="s">
        <v>21</v>
      </c>
      <c r="J29" s="720"/>
      <c r="K29" s="126">
        <f>IF('Edo de Cambios en la Sit Fin'!I118&gt;'Edo de Cambios en la Sit Fin'!J118,'Edo de Cambios en la Sit Fin'!I118-'Edo de Cambios en la Sit Fin'!J118,0)</f>
        <v>1593161</v>
      </c>
      <c r="L29" s="126">
        <f>IF(K29&gt;0,0,'Edo de Cambios en la Sit Fin'!J118-'Edo de Cambios en la Sit Fin'!I118)</f>
        <v>0</v>
      </c>
      <c r="M29" s="38"/>
    </row>
    <row r="30" spans="3:16" x14ac:dyDescent="0.2">
      <c r="C30" s="46"/>
      <c r="D30" s="717" t="s">
        <v>22</v>
      </c>
      <c r="E30" s="717"/>
      <c r="F30" s="126">
        <f>IF('Edo de Cambios en la Sit Fin'!D119&lt;'Edo de Cambios en la Sit Fin'!E119,'Edo de Cambios en la Sit Fin'!E119-'Edo de Cambios en la Sit Fin'!D119,0)</f>
        <v>0</v>
      </c>
      <c r="G30" s="126">
        <f>IF(F30&gt;0,0,'Edo de Cambios en la Sit Fin'!D119-'Edo de Cambios en la Sit Fin'!E119)</f>
        <v>0</v>
      </c>
      <c r="H30" s="41"/>
      <c r="I30" s="717" t="s">
        <v>23</v>
      </c>
      <c r="J30" s="717"/>
      <c r="K30" s="126">
        <f>IF('Edo de Cambios en la Sit Fin'!I119&gt;'Edo de Cambios en la Sit Fin'!J119,'Edo de Cambios en la Sit Fin'!I119-'Edo de Cambios en la Sit Fin'!J119,0)</f>
        <v>0</v>
      </c>
      <c r="L30" s="126">
        <f>IF(K30&gt;0,0,'Edo de Cambios en la Sit Fin'!J119-'Edo de Cambios en la Sit Fin'!I119)</f>
        <v>0</v>
      </c>
      <c r="M30" s="38"/>
    </row>
    <row r="31" spans="3:16" ht="15" x14ac:dyDescent="0.2">
      <c r="C31" s="43"/>
      <c r="D31" s="48"/>
      <c r="E31" s="75"/>
      <c r="F31" s="125"/>
      <c r="G31" s="125"/>
      <c r="H31" s="41"/>
      <c r="I31" s="717" t="s">
        <v>24</v>
      </c>
      <c r="J31" s="717"/>
      <c r="K31" s="126">
        <f>IF('Edo de Cambios en la Sit Fin'!I120&gt;'Edo de Cambios en la Sit Fin'!J120,'Edo de Cambios en la Sit Fin'!I120-'Edo de Cambios en la Sit Fin'!J120,0)</f>
        <v>0</v>
      </c>
      <c r="L31" s="126">
        <f>IF(K31&gt;0,0,'Edo de Cambios en la Sit Fin'!J120-'Edo de Cambios en la Sit Fin'!I120)</f>
        <v>0</v>
      </c>
      <c r="M31" s="38"/>
    </row>
    <row r="32" spans="3:16" ht="15" x14ac:dyDescent="0.2">
      <c r="C32" s="43"/>
      <c r="D32" s="722" t="s">
        <v>27</v>
      </c>
      <c r="E32" s="722"/>
      <c r="F32" s="124">
        <f>SUM(F34:F42)</f>
        <v>0</v>
      </c>
      <c r="G32" s="124">
        <f>SUM(G34:G42)</f>
        <v>18434614283.359997</v>
      </c>
      <c r="H32" s="41"/>
      <c r="I32" s="48"/>
      <c r="J32" s="48"/>
      <c r="K32" s="125"/>
      <c r="L32" s="125"/>
      <c r="M32" s="38"/>
    </row>
    <row r="33" spans="3:16" ht="15" x14ac:dyDescent="0.2">
      <c r="C33" s="43"/>
      <c r="D33" s="48"/>
      <c r="E33" s="75"/>
      <c r="F33" s="125"/>
      <c r="G33" s="125"/>
      <c r="H33" s="41"/>
      <c r="I33" s="721" t="s">
        <v>28</v>
      </c>
      <c r="J33" s="721"/>
      <c r="K33" s="124">
        <f>SUM(K35:K40)</f>
        <v>0</v>
      </c>
      <c r="L33" s="124">
        <f>SUM(L35:L40)</f>
        <v>1019785411.5899963</v>
      </c>
      <c r="M33" s="38"/>
    </row>
    <row r="34" spans="3:16" ht="15" x14ac:dyDescent="0.2">
      <c r="C34" s="46"/>
      <c r="D34" s="717" t="s">
        <v>29</v>
      </c>
      <c r="E34" s="717"/>
      <c r="F34" s="126">
        <f>IF('Edo de Cambios en la Sit Fin'!D126&lt;'Edo de Cambios en la Sit Fin'!E126,'Edo de Cambios en la Sit Fin'!E126-'Edo de Cambios en la Sit Fin'!D126,0)</f>
        <v>0</v>
      </c>
      <c r="G34" s="126">
        <f>IF(F34&gt;0,0,'Edo de Cambios en la Sit Fin'!D126-'Edo de Cambios en la Sit Fin'!E126)</f>
        <v>147088976.99999994</v>
      </c>
      <c r="H34" s="41"/>
      <c r="I34" s="48"/>
      <c r="J34" s="48"/>
      <c r="K34" s="125"/>
      <c r="L34" s="125"/>
      <c r="M34" s="38"/>
    </row>
    <row r="35" spans="3:16" x14ac:dyDescent="0.2">
      <c r="C35" s="46"/>
      <c r="D35" s="717" t="s">
        <v>31</v>
      </c>
      <c r="E35" s="717"/>
      <c r="F35" s="126">
        <f>IF('Edo de Cambios en la Sit Fin'!D127&lt;'Edo de Cambios en la Sit Fin'!E127,'Edo de Cambios en la Sit Fin'!E127-'Edo de Cambios en la Sit Fin'!D127,0)</f>
        <v>0</v>
      </c>
      <c r="G35" s="126">
        <f>IF(F35&gt;0,0,'Edo de Cambios en la Sit Fin'!D127-'Edo de Cambios en la Sit Fin'!E127)</f>
        <v>0</v>
      </c>
      <c r="H35" s="41"/>
      <c r="I35" s="717" t="s">
        <v>30</v>
      </c>
      <c r="J35" s="717"/>
      <c r="K35" s="126">
        <f>IF('Edo de Cambios en la Sit Fin'!I126&gt;'Edo de Cambios en la Sit Fin'!J126,'Edo de Cambios en la Sit Fin'!I126-'Edo de Cambios en la Sit Fin'!J126,0)</f>
        <v>0</v>
      </c>
      <c r="L35" s="126">
        <f>IF(K35&gt;0,0,'Edo de Cambios en la Sit Fin'!J126-'Edo de Cambios en la Sit Fin'!I126)</f>
        <v>0</v>
      </c>
      <c r="M35" s="38"/>
    </row>
    <row r="36" spans="3:16" x14ac:dyDescent="0.2">
      <c r="C36" s="46"/>
      <c r="D36" s="717" t="s">
        <v>33</v>
      </c>
      <c r="E36" s="717"/>
      <c r="F36" s="126">
        <f>IF('Edo de Cambios en la Sit Fin'!D128&lt;'Edo de Cambios en la Sit Fin'!E128,'Edo de Cambios en la Sit Fin'!E128-'Edo de Cambios en la Sit Fin'!D128,0)</f>
        <v>0</v>
      </c>
      <c r="G36" s="126">
        <f>IF(F36&gt;0,0,'Edo de Cambios en la Sit Fin'!D128-'Edo de Cambios en la Sit Fin'!E128)</f>
        <v>18070081560.569996</v>
      </c>
      <c r="H36" s="41"/>
      <c r="I36" s="717" t="s">
        <v>32</v>
      </c>
      <c r="J36" s="717"/>
      <c r="K36" s="126">
        <f>IF('Edo de Cambios en la Sit Fin'!I127&gt;'Edo de Cambios en la Sit Fin'!J127,'Edo de Cambios en la Sit Fin'!I127-'Edo de Cambios en la Sit Fin'!J127,0)</f>
        <v>0</v>
      </c>
      <c r="L36" s="126">
        <f>IF(K36&gt;0,0,'Edo de Cambios en la Sit Fin'!J127-'Edo de Cambios en la Sit Fin'!I127)</f>
        <v>0</v>
      </c>
      <c r="M36" s="38"/>
    </row>
    <row r="37" spans="3:16" x14ac:dyDescent="0.2">
      <c r="C37" s="46"/>
      <c r="D37" s="717" t="s">
        <v>35</v>
      </c>
      <c r="E37" s="717"/>
      <c r="F37" s="126">
        <f>IF('Edo de Cambios en la Sit Fin'!D129&lt;'Edo de Cambios en la Sit Fin'!E129,'Edo de Cambios en la Sit Fin'!E129-'Edo de Cambios en la Sit Fin'!D129,0)</f>
        <v>0</v>
      </c>
      <c r="G37" s="126">
        <f>IF(F37&gt;0,0,'Edo de Cambios en la Sit Fin'!D129-'Edo de Cambios en la Sit Fin'!E129)</f>
        <v>211196192.23999977</v>
      </c>
      <c r="H37" s="41"/>
      <c r="I37" s="717" t="s">
        <v>34</v>
      </c>
      <c r="J37" s="717"/>
      <c r="K37" s="126">
        <f>IF('Edo de Cambios en la Sit Fin'!I128&gt;'Edo de Cambios en la Sit Fin'!J128,'Edo de Cambios en la Sit Fin'!I128-'Edo de Cambios en la Sit Fin'!J128,0)</f>
        <v>0</v>
      </c>
      <c r="L37" s="126">
        <f>IF(K37&gt;0,0,'Edo de Cambios en la Sit Fin'!J128-'Edo de Cambios en la Sit Fin'!I128)</f>
        <v>1019785411.5899963</v>
      </c>
      <c r="M37" s="38"/>
    </row>
    <row r="38" spans="3:16" x14ac:dyDescent="0.2">
      <c r="C38" s="46"/>
      <c r="D38" s="717" t="s">
        <v>37</v>
      </c>
      <c r="E38" s="717"/>
      <c r="F38" s="126">
        <f>IF('Edo de Cambios en la Sit Fin'!D130&lt;'Edo de Cambios en la Sit Fin'!E130,'Edo de Cambios en la Sit Fin'!E130-'Edo de Cambios en la Sit Fin'!D130,0)</f>
        <v>0</v>
      </c>
      <c r="G38" s="126">
        <f>IF(F38&gt;0,0,'Edo de Cambios en la Sit Fin'!D130-'Edo de Cambios en la Sit Fin'!E130)</f>
        <v>6247553.549999997</v>
      </c>
      <c r="H38" s="41"/>
      <c r="I38" s="717" t="s">
        <v>36</v>
      </c>
      <c r="J38" s="717"/>
      <c r="K38" s="126">
        <f>IF('Edo de Cambios en la Sit Fin'!I129&gt;'Edo de Cambios en la Sit Fin'!J129,'Edo de Cambios en la Sit Fin'!I129-'Edo de Cambios en la Sit Fin'!J129,0)</f>
        <v>0</v>
      </c>
      <c r="L38" s="126">
        <f>IF(K38&gt;0,0,'Edo de Cambios en la Sit Fin'!J129-'Edo de Cambios en la Sit Fin'!I129)</f>
        <v>0</v>
      </c>
      <c r="M38" s="38"/>
    </row>
    <row r="39" spans="3:16" ht="30" customHeight="1" x14ac:dyDescent="0.2">
      <c r="C39" s="46"/>
      <c r="D39" s="720" t="s">
        <v>39</v>
      </c>
      <c r="E39" s="720"/>
      <c r="F39" s="126">
        <f>IF('Edo de Cambios en la Sit Fin'!D131&lt;'Edo de Cambios en la Sit Fin'!E131,'Edo de Cambios en la Sit Fin'!E131-'Edo de Cambios en la Sit Fin'!D131,0)</f>
        <v>0</v>
      </c>
      <c r="G39" s="126">
        <f>IF(F39&gt;0,0,'Edo de Cambios en la Sit Fin'!D131-'Edo de Cambios en la Sit Fin'!E131)</f>
        <v>0</v>
      </c>
      <c r="H39" s="41"/>
      <c r="I39" s="720" t="s">
        <v>38</v>
      </c>
      <c r="J39" s="720"/>
      <c r="K39" s="126">
        <f>IF('Edo de Cambios en la Sit Fin'!I130&gt;'Edo de Cambios en la Sit Fin'!J130,'Edo de Cambios en la Sit Fin'!I130-'Edo de Cambios en la Sit Fin'!J130,0)</f>
        <v>0</v>
      </c>
      <c r="L39" s="126">
        <f>IF(K39&gt;0,0,'Edo de Cambios en la Sit Fin'!J130-'Edo de Cambios en la Sit Fin'!I130)</f>
        <v>0</v>
      </c>
      <c r="M39" s="38"/>
    </row>
    <row r="40" spans="3:16" x14ac:dyDescent="0.2">
      <c r="C40" s="46"/>
      <c r="D40" s="717" t="s">
        <v>41</v>
      </c>
      <c r="E40" s="717"/>
      <c r="F40" s="126">
        <f>IF('Edo de Cambios en la Sit Fin'!D132&lt;'Edo de Cambios en la Sit Fin'!E132,'Edo de Cambios en la Sit Fin'!E132-'Edo de Cambios en la Sit Fin'!D132,0)</f>
        <v>0</v>
      </c>
      <c r="G40" s="126">
        <f>IF(F40&gt;0,0,'Edo de Cambios en la Sit Fin'!D132-'Edo de Cambios en la Sit Fin'!E132)</f>
        <v>0</v>
      </c>
      <c r="H40" s="41"/>
      <c r="I40" s="717" t="s">
        <v>40</v>
      </c>
      <c r="J40" s="717"/>
      <c r="K40" s="126">
        <f>IF('Edo de Cambios en la Sit Fin'!I131&gt;'Edo de Cambios en la Sit Fin'!J131,'Edo de Cambios en la Sit Fin'!I131-'Edo de Cambios en la Sit Fin'!J131,0)</f>
        <v>0</v>
      </c>
      <c r="L40" s="126">
        <f>IF(K40&gt;0,0,'Edo de Cambios en la Sit Fin'!J131-'Edo de Cambios en la Sit Fin'!I131)</f>
        <v>0</v>
      </c>
      <c r="M40" s="38"/>
      <c r="O40" s="360"/>
    </row>
    <row r="41" spans="3:16" ht="25.5" customHeight="1" x14ac:dyDescent="0.25">
      <c r="C41" s="46"/>
      <c r="D41" s="720" t="s">
        <v>42</v>
      </c>
      <c r="E41" s="720"/>
      <c r="F41" s="126">
        <f>IF('Edo de Cambios en la Sit Fin'!D133&lt;'Edo de Cambios en la Sit Fin'!E133,'Edo de Cambios en la Sit Fin'!E133-'Edo de Cambios en la Sit Fin'!D133,0)</f>
        <v>0</v>
      </c>
      <c r="G41" s="126">
        <f>IF(F41&gt;0,0,'Edo de Cambios en la Sit Fin'!D133-'Edo de Cambios en la Sit Fin'!E133)</f>
        <v>0</v>
      </c>
      <c r="H41" s="41"/>
      <c r="I41" s="48"/>
      <c r="J41" s="48"/>
      <c r="K41" s="127"/>
      <c r="L41" s="127"/>
      <c r="M41" s="38"/>
      <c r="O41" s="360"/>
    </row>
    <row r="42" spans="3:16" ht="15" x14ac:dyDescent="0.2">
      <c r="C42" s="46"/>
      <c r="D42" s="717" t="s">
        <v>44</v>
      </c>
      <c r="E42" s="717"/>
      <c r="F42" s="126">
        <f>IF('Edo de Cambios en la Sit Fin'!D134&lt;'Edo de Cambios en la Sit Fin'!E134,'Edo de Cambios en la Sit Fin'!E134-'Edo de Cambios en la Sit Fin'!D134,0)</f>
        <v>0</v>
      </c>
      <c r="G42" s="126">
        <f>IF(F42&gt;0,0,'Edo de Cambios en la Sit Fin'!D134-'Edo de Cambios en la Sit Fin'!E134)</f>
        <v>0</v>
      </c>
      <c r="H42" s="41"/>
      <c r="I42" s="722" t="s">
        <v>47</v>
      </c>
      <c r="J42" s="722"/>
      <c r="K42" s="124">
        <f>+K44+K50+K58-L44-L50-L58</f>
        <v>19414037659.430012</v>
      </c>
      <c r="L42" s="124"/>
      <c r="M42" s="38"/>
      <c r="O42" s="360"/>
      <c r="P42" s="360"/>
    </row>
    <row r="43" spans="3:16" ht="15" x14ac:dyDescent="0.25">
      <c r="C43" s="43"/>
      <c r="D43" s="48"/>
      <c r="E43" s="75"/>
      <c r="F43" s="127"/>
      <c r="G43" s="127"/>
      <c r="H43" s="41"/>
      <c r="I43" s="48"/>
      <c r="J43" s="48"/>
      <c r="K43" s="125"/>
      <c r="L43" s="125"/>
      <c r="M43" s="38"/>
      <c r="P43" s="360"/>
    </row>
    <row r="44" spans="3:16" ht="15" x14ac:dyDescent="0.2">
      <c r="C44" s="46"/>
      <c r="D44" s="19"/>
      <c r="E44" s="19"/>
      <c r="F44" s="19"/>
      <c r="G44" s="19"/>
      <c r="H44" s="41"/>
      <c r="I44" s="722" t="s">
        <v>49</v>
      </c>
      <c r="J44" s="722"/>
      <c r="K44" s="124">
        <f>SUM(K46:K48)</f>
        <v>0</v>
      </c>
      <c r="L44" s="124">
        <f>SUM(L46:L48)</f>
        <v>-3.814697265625E-6</v>
      </c>
      <c r="M44" s="38"/>
      <c r="P44" s="360"/>
    </row>
    <row r="45" spans="3:16" ht="15" x14ac:dyDescent="0.2">
      <c r="C45" s="43"/>
      <c r="D45" s="19"/>
      <c r="E45" s="19"/>
      <c r="F45" s="19"/>
      <c r="G45" s="19"/>
      <c r="H45" s="41"/>
      <c r="I45" s="48"/>
      <c r="J45" s="48"/>
      <c r="K45" s="125"/>
      <c r="L45" s="125"/>
      <c r="M45" s="38"/>
    </row>
    <row r="46" spans="3:16" x14ac:dyDescent="0.2">
      <c r="C46" s="46"/>
      <c r="D46" s="19"/>
      <c r="E46" s="19"/>
      <c r="F46" s="19"/>
      <c r="G46" s="19"/>
      <c r="H46" s="41"/>
      <c r="I46" s="717" t="s">
        <v>50</v>
      </c>
      <c r="J46" s="717"/>
      <c r="K46" s="126">
        <f>IF('Edo de Cambios en la Sit Fin'!I141&gt;'Edo de Cambios en la Sit Fin'!J141,'Edo de Cambios en la Sit Fin'!I141-'Edo de Cambios en la Sit Fin'!J141,0)</f>
        <v>0</v>
      </c>
      <c r="L46" s="126">
        <f>IF(K46&gt;0,0,'Edo de Cambios en la Sit Fin'!J141-'Edo de Cambios en la Sit Fin'!I141)</f>
        <v>-3.814697265625E-6</v>
      </c>
      <c r="M46" s="38"/>
    </row>
    <row r="47" spans="3:16" ht="15" x14ac:dyDescent="0.2">
      <c r="C47" s="43"/>
      <c r="D47" s="19"/>
      <c r="E47" s="19"/>
      <c r="F47" s="19"/>
      <c r="G47" s="19"/>
      <c r="H47" s="41"/>
      <c r="I47" s="717" t="s">
        <v>51</v>
      </c>
      <c r="J47" s="717"/>
      <c r="K47" s="126">
        <f>IF('Edo de Cambios en la Sit Fin'!I142&gt;'Edo de Cambios en la Sit Fin'!J142,'Edo de Cambios en la Sit Fin'!I142-'Edo de Cambios en la Sit Fin'!J142,0)</f>
        <v>0</v>
      </c>
      <c r="L47" s="126">
        <f>IF(K47&gt;0,0,'Edo de Cambios en la Sit Fin'!J142-'Edo de Cambios en la Sit Fin'!I142)</f>
        <v>0</v>
      </c>
      <c r="M47" s="38"/>
    </row>
    <row r="48" spans="3:16" x14ac:dyDescent="0.2">
      <c r="C48" s="46"/>
      <c r="D48" s="19"/>
      <c r="E48" s="19"/>
      <c r="F48" s="19"/>
      <c r="G48" s="19"/>
      <c r="H48" s="41"/>
      <c r="I48" s="717" t="s">
        <v>52</v>
      </c>
      <c r="J48" s="717"/>
      <c r="K48" s="126">
        <f>IF('Edo de Cambios en la Sit Fin'!I143&gt;'Edo de Cambios en la Sit Fin'!J143,'Edo de Cambios en la Sit Fin'!I143-'Edo de Cambios en la Sit Fin'!J143,0)</f>
        <v>0</v>
      </c>
      <c r="L48" s="126">
        <f>IF(K48&gt;0,0,'Edo de Cambios en la Sit Fin'!J143-'Edo de Cambios en la Sit Fin'!I143)</f>
        <v>0</v>
      </c>
      <c r="M48" s="38"/>
    </row>
    <row r="49" spans="3:13" ht="15" x14ac:dyDescent="0.2">
      <c r="C49" s="46"/>
      <c r="D49" s="19"/>
      <c r="E49" s="19"/>
      <c r="F49" s="19"/>
      <c r="G49" s="19"/>
      <c r="H49" s="41"/>
      <c r="I49" s="48"/>
      <c r="J49" s="48"/>
      <c r="K49" s="125"/>
      <c r="L49" s="125"/>
      <c r="M49" s="38"/>
    </row>
    <row r="50" spans="3:13" ht="15" x14ac:dyDescent="0.2">
      <c r="C50" s="46"/>
      <c r="D50" s="19"/>
      <c r="E50" s="19"/>
      <c r="F50" s="19"/>
      <c r="G50" s="19"/>
      <c r="H50" s="41"/>
      <c r="I50" s="722" t="s">
        <v>53</v>
      </c>
      <c r="J50" s="722"/>
      <c r="K50" s="124">
        <f>SUM(K52:K56)</f>
        <v>19886633605.080009</v>
      </c>
      <c r="L50" s="124">
        <f>SUM(L52:L56)</f>
        <v>472595945.64999998</v>
      </c>
      <c r="M50" s="38"/>
    </row>
    <row r="51" spans="3:13" ht="15" x14ac:dyDescent="0.2">
      <c r="C51" s="46"/>
      <c r="D51" s="19"/>
      <c r="E51" s="19"/>
      <c r="F51" s="19"/>
      <c r="G51" s="19"/>
      <c r="H51" s="41"/>
      <c r="I51" s="48"/>
      <c r="J51" s="48"/>
      <c r="K51" s="125"/>
      <c r="L51" s="125"/>
      <c r="M51" s="38"/>
    </row>
    <row r="52" spans="3:13" x14ac:dyDescent="0.2">
      <c r="C52" s="46"/>
      <c r="D52" s="19"/>
      <c r="E52" s="19"/>
      <c r="F52" s="19"/>
      <c r="G52" s="19"/>
      <c r="H52" s="41"/>
      <c r="I52" s="717" t="s">
        <v>54</v>
      </c>
      <c r="J52" s="717"/>
      <c r="K52" s="126">
        <f>IF('Edo de Cambios en la Sit Fin'!I147&gt;'Edo de Cambios en la Sit Fin'!J147,'Edo de Cambios en la Sit Fin'!I147-'Edo de Cambios en la Sit Fin'!J147,0)</f>
        <v>1216968451.3699999</v>
      </c>
      <c r="L52" s="126">
        <f>IF(K52&gt;0,0,'Edo de Cambios en la Sit Fin'!J147-'Edo de Cambios en la Sit Fin'!I147)</f>
        <v>0</v>
      </c>
      <c r="M52" s="38"/>
    </row>
    <row r="53" spans="3:13" x14ac:dyDescent="0.2">
      <c r="C53" s="46"/>
      <c r="D53" s="19"/>
      <c r="E53" s="19"/>
      <c r="F53" s="19"/>
      <c r="G53" s="19"/>
      <c r="H53" s="41"/>
      <c r="I53" s="717" t="s">
        <v>55</v>
      </c>
      <c r="J53" s="717"/>
      <c r="K53" s="126">
        <f>IF('Edo de Cambios en la Sit Fin'!I148&gt;'Edo de Cambios en la Sit Fin'!J148,'Edo de Cambios en la Sit Fin'!I148-'Edo de Cambios en la Sit Fin'!J148,0)</f>
        <v>838009765.71000671</v>
      </c>
      <c r="L53" s="126">
        <f>IF(K53&gt;0,0,'Edo de Cambios en la Sit Fin'!J148-'Edo de Cambios en la Sit Fin'!I148)</f>
        <v>0</v>
      </c>
      <c r="M53" s="38"/>
    </row>
    <row r="54" spans="3:13" x14ac:dyDescent="0.2">
      <c r="C54" s="46"/>
      <c r="D54" s="19"/>
      <c r="E54" s="19"/>
      <c r="F54" s="19"/>
      <c r="G54" s="19"/>
      <c r="H54" s="41"/>
      <c r="I54" s="717" t="s">
        <v>56</v>
      </c>
      <c r="J54" s="717"/>
      <c r="K54" s="126">
        <f>IF('Edo de Cambios en la Sit Fin'!I149&gt;'Edo de Cambios en la Sit Fin'!J149,'Edo de Cambios en la Sit Fin'!I149-'Edo de Cambios en la Sit Fin'!J149,0)</f>
        <v>17831655388.000004</v>
      </c>
      <c r="L54" s="126">
        <f>IF(K54&gt;0,0,'Edo de Cambios en la Sit Fin'!J149-'Edo de Cambios en la Sit Fin'!I149)</f>
        <v>0</v>
      </c>
      <c r="M54" s="38"/>
    </row>
    <row r="55" spans="3:13" x14ac:dyDescent="0.2">
      <c r="C55" s="46"/>
      <c r="D55" s="19"/>
      <c r="E55" s="19"/>
      <c r="F55" s="19"/>
      <c r="G55" s="19"/>
      <c r="H55" s="41"/>
      <c r="I55" s="717" t="s">
        <v>57</v>
      </c>
      <c r="J55" s="717"/>
      <c r="K55" s="126">
        <f>IF('Edo de Cambios en la Sit Fin'!I150&gt;'Edo de Cambios en la Sit Fin'!J150,'Edo de Cambios en la Sit Fin'!I150-'Edo de Cambios en la Sit Fin'!J150,0)</f>
        <v>0</v>
      </c>
      <c r="L55" s="126">
        <f>IF(K55&gt;0,0,'Edo de Cambios en la Sit Fin'!J150-'Edo de Cambios en la Sit Fin'!I150)</f>
        <v>0</v>
      </c>
      <c r="M55" s="38"/>
    </row>
    <row r="56" spans="3:13" ht="15" x14ac:dyDescent="0.2">
      <c r="C56" s="43"/>
      <c r="D56" s="19"/>
      <c r="E56" s="19"/>
      <c r="F56" s="19"/>
      <c r="G56" s="19"/>
      <c r="H56" s="41"/>
      <c r="I56" s="717" t="s">
        <v>58</v>
      </c>
      <c r="J56" s="717"/>
      <c r="K56" s="126">
        <f>IF('Edo de Cambios en la Sit Fin'!I151&gt;'Edo de Cambios en la Sit Fin'!J151,'Edo de Cambios en la Sit Fin'!I151-'Edo de Cambios en la Sit Fin'!J151,0)</f>
        <v>0</v>
      </c>
      <c r="L56" s="126">
        <f>IF(K56&gt;0,0,'Edo de Cambios en la Sit Fin'!J151-'Edo de Cambios en la Sit Fin'!I151)</f>
        <v>472595945.64999998</v>
      </c>
      <c r="M56" s="38"/>
    </row>
    <row r="57" spans="3:13" ht="15" x14ac:dyDescent="0.2">
      <c r="C57" s="46"/>
      <c r="D57" s="19"/>
      <c r="E57" s="19"/>
      <c r="F57" s="19"/>
      <c r="G57" s="19"/>
      <c r="H57" s="41"/>
      <c r="I57" s="48"/>
      <c r="J57" s="48"/>
      <c r="K57" s="125"/>
      <c r="L57" s="125"/>
      <c r="M57" s="38"/>
    </row>
    <row r="58" spans="3:13" ht="30" customHeight="1" x14ac:dyDescent="0.2">
      <c r="C58" s="43"/>
      <c r="D58" s="19"/>
      <c r="E58" s="19"/>
      <c r="F58" s="19"/>
      <c r="G58" s="19"/>
      <c r="H58" s="41"/>
      <c r="I58" s="722" t="s">
        <v>79</v>
      </c>
      <c r="J58" s="722"/>
      <c r="K58" s="124">
        <f>SUM(K60:K61)</f>
        <v>0</v>
      </c>
      <c r="L58" s="124">
        <f>SUM(L60:L61)</f>
        <v>0</v>
      </c>
      <c r="M58" s="38"/>
    </row>
    <row r="59" spans="3:13" ht="15" x14ac:dyDescent="0.2">
      <c r="C59" s="46"/>
      <c r="D59" s="19"/>
      <c r="E59" s="19"/>
      <c r="F59" s="19"/>
      <c r="G59" s="19"/>
      <c r="H59" s="41"/>
      <c r="I59" s="48"/>
      <c r="J59" s="48"/>
      <c r="K59" s="125"/>
      <c r="L59" s="125"/>
      <c r="M59" s="38"/>
    </row>
    <row r="60" spans="3:13" x14ac:dyDescent="0.2">
      <c r="C60" s="46"/>
      <c r="D60" s="19"/>
      <c r="E60" s="19"/>
      <c r="F60" s="19"/>
      <c r="G60" s="19"/>
      <c r="H60" s="41"/>
      <c r="I60" s="717" t="s">
        <v>60</v>
      </c>
      <c r="J60" s="717"/>
      <c r="K60" s="126">
        <f>IF('Edo de Cambios en la Sit Fin'!I155&gt;'Edo de Cambios en la Sit Fin'!J155,'Edo de Cambios en la Sit Fin'!I155-'Edo de Cambios en la Sit Fin'!J155,0)</f>
        <v>0</v>
      </c>
      <c r="L60" s="126">
        <f>IF(K60&gt;0,0,'Edo de Cambios en la Sit Fin'!J155-'Edo de Cambios en la Sit Fin'!I155)</f>
        <v>0</v>
      </c>
      <c r="M60" s="38"/>
    </row>
    <row r="61" spans="3:13" ht="19.5" customHeight="1" x14ac:dyDescent="0.2">
      <c r="C61" s="128"/>
      <c r="D61" s="62"/>
      <c r="E61" s="62"/>
      <c r="F61" s="62"/>
      <c r="G61" s="62"/>
      <c r="H61" s="112"/>
      <c r="I61" s="751" t="s">
        <v>61</v>
      </c>
      <c r="J61" s="751"/>
      <c r="K61" s="129">
        <f>IF('Edo de Cambios en la Sit Fin'!I156&gt;'Edo de Cambios en la Sit Fin'!J156,'Edo de Cambios en la Sit Fin'!I156-'Edo de Cambios en la Sit Fin'!J156,0)</f>
        <v>0</v>
      </c>
      <c r="L61" s="129">
        <f>IF(K61&gt;0,0,'Edo de Cambios en la Sit Fin'!J156-'Edo de Cambios en la Sit Fin'!I156)</f>
        <v>0</v>
      </c>
      <c r="M61" s="64"/>
    </row>
    <row r="62" spans="3:13" ht="6" customHeight="1" x14ac:dyDescent="0.2">
      <c r="C62" s="130"/>
      <c r="D62" s="62"/>
      <c r="E62" s="65"/>
      <c r="F62" s="66"/>
      <c r="G62" s="67"/>
      <c r="H62" s="67"/>
      <c r="I62" s="62"/>
      <c r="J62" s="131"/>
      <c r="K62" s="131"/>
      <c r="L62" s="131"/>
      <c r="M62" s="67"/>
    </row>
    <row r="63" spans="3:13" ht="6" customHeight="1" x14ac:dyDescent="0.2">
      <c r="C63" s="19"/>
      <c r="E63" s="49"/>
      <c r="F63" s="70"/>
      <c r="G63" s="71"/>
      <c r="H63" s="71"/>
      <c r="J63" s="132"/>
      <c r="K63" s="70"/>
      <c r="L63" s="71"/>
      <c r="M63" s="71"/>
    </row>
    <row r="64" spans="3:13" ht="6" customHeight="1" x14ac:dyDescent="0.2">
      <c r="D64" s="49"/>
      <c r="E64" s="70"/>
      <c r="F64" s="71"/>
      <c r="G64" s="71"/>
      <c r="I64" s="72"/>
      <c r="J64" s="133"/>
      <c r="K64" s="71"/>
      <c r="L64" s="71"/>
    </row>
    <row r="65" spans="3:12" ht="15" customHeight="1" x14ac:dyDescent="0.2">
      <c r="D65" s="728" t="s">
        <v>78</v>
      </c>
      <c r="E65" s="728"/>
      <c r="F65" s="728"/>
      <c r="G65" s="728"/>
      <c r="H65" s="728"/>
      <c r="I65" s="728"/>
      <c r="J65" s="728"/>
      <c r="K65" s="728"/>
      <c r="L65" s="728"/>
    </row>
    <row r="66" spans="3:12" ht="9.75" customHeight="1" x14ac:dyDescent="0.2">
      <c r="D66" s="49"/>
      <c r="E66" s="70"/>
      <c r="F66" s="71"/>
      <c r="G66" s="71"/>
      <c r="I66" s="72"/>
      <c r="J66" s="133"/>
      <c r="K66" s="71"/>
      <c r="L66" s="71"/>
    </row>
    <row r="67" spans="3:12" ht="50.1" customHeight="1" x14ac:dyDescent="0.2">
      <c r="D67" s="49"/>
      <c r="E67" s="134"/>
      <c r="F67" s="135"/>
      <c r="G67" s="71"/>
      <c r="I67" s="136"/>
      <c r="J67" s="137"/>
      <c r="K67" s="71"/>
      <c r="L67" s="71"/>
    </row>
    <row r="68" spans="3:12" ht="14.1" customHeight="1" x14ac:dyDescent="0.2">
      <c r="D68" s="74"/>
      <c r="E68" s="725" t="s">
        <v>403</v>
      </c>
      <c r="F68" s="725"/>
      <c r="G68" s="71"/>
      <c r="H68" s="71"/>
      <c r="I68" s="724" t="s">
        <v>474</v>
      </c>
      <c r="J68" s="724"/>
      <c r="K68" s="724"/>
      <c r="L68" s="71"/>
    </row>
    <row r="69" spans="3:12" ht="18" customHeight="1" x14ac:dyDescent="0.2">
      <c r="D69" s="76"/>
      <c r="E69" s="723" t="s">
        <v>402</v>
      </c>
      <c r="F69" s="723"/>
      <c r="G69" s="77"/>
      <c r="H69" s="77"/>
      <c r="I69" s="723" t="s">
        <v>475</v>
      </c>
      <c r="J69" s="723"/>
      <c r="K69" s="723"/>
      <c r="L69" s="71"/>
    </row>
    <row r="70" spans="3:12" x14ac:dyDescent="0.2">
      <c r="C70" s="110"/>
      <c r="H70" s="41"/>
    </row>
    <row r="71" spans="3:12" x14ac:dyDescent="0.2">
      <c r="K71" s="360"/>
      <c r="L71" s="360"/>
    </row>
    <row r="80" spans="3:12" s="564" customFormat="1" hidden="1" x14ac:dyDescent="0.2">
      <c r="J80" s="565"/>
    </row>
    <row r="81" spans="1:12" s="564" customFormat="1" hidden="1" x14ac:dyDescent="0.2">
      <c r="J81" s="565"/>
    </row>
    <row r="82" spans="1:12" s="564" customFormat="1" hidden="1" x14ac:dyDescent="0.2">
      <c r="J82" s="565"/>
    </row>
    <row r="83" spans="1:12" s="564" customFormat="1" hidden="1" x14ac:dyDescent="0.2">
      <c r="J83" s="565"/>
    </row>
    <row r="84" spans="1:12" s="564" customFormat="1" hidden="1" x14ac:dyDescent="0.2">
      <c r="J84" s="565"/>
    </row>
    <row r="85" spans="1:12" s="564" customFormat="1" hidden="1" x14ac:dyDescent="0.2">
      <c r="J85" s="565"/>
    </row>
    <row r="86" spans="1:12" s="564" customFormat="1" hidden="1" x14ac:dyDescent="0.2">
      <c r="J86" s="565"/>
    </row>
    <row r="87" spans="1:12" s="564" customFormat="1" hidden="1" x14ac:dyDescent="0.2">
      <c r="J87" s="565"/>
    </row>
    <row r="88" spans="1:12" s="564" customFormat="1" hidden="1" x14ac:dyDescent="0.2">
      <c r="J88" s="565"/>
    </row>
    <row r="89" spans="1:12" s="564" customFormat="1" hidden="1" x14ac:dyDescent="0.2">
      <c r="J89" s="565"/>
    </row>
    <row r="90" spans="1:12" s="566" customFormat="1" hidden="1" x14ac:dyDescent="0.2">
      <c r="B90" s="567"/>
      <c r="F90" s="568"/>
      <c r="K90" s="564"/>
      <c r="L90" s="569"/>
    </row>
    <row r="91" spans="1:12" s="566" customFormat="1" hidden="1" x14ac:dyDescent="0.2">
      <c r="B91" s="567"/>
      <c r="F91" s="568"/>
      <c r="K91" s="564"/>
      <c r="L91" s="569"/>
    </row>
    <row r="92" spans="1:12" s="566" customFormat="1" hidden="1" x14ac:dyDescent="0.2">
      <c r="B92" s="567"/>
      <c r="F92" s="568"/>
      <c r="K92" s="564"/>
      <c r="L92" s="569"/>
    </row>
    <row r="93" spans="1:12" s="566" customFormat="1" hidden="1" x14ac:dyDescent="0.2">
      <c r="B93" s="567"/>
      <c r="F93" s="568"/>
      <c r="K93" s="564"/>
      <c r="L93" s="569"/>
    </row>
    <row r="94" spans="1:12" s="566" customFormat="1" hidden="1" x14ac:dyDescent="0.2">
      <c r="B94" s="567"/>
      <c r="F94" s="568"/>
      <c r="K94" s="564"/>
      <c r="L94" s="569"/>
    </row>
    <row r="95" spans="1:12" s="566" customFormat="1" hidden="1" x14ac:dyDescent="0.2">
      <c r="B95" s="567"/>
      <c r="F95" s="568"/>
      <c r="K95" s="564"/>
      <c r="L95" s="569"/>
    </row>
    <row r="96" spans="1:12" s="566" customFormat="1" ht="6" hidden="1" customHeight="1" x14ac:dyDescent="0.2">
      <c r="A96" s="570"/>
      <c r="B96" s="571"/>
      <c r="C96" s="570"/>
      <c r="D96" s="572"/>
      <c r="E96" s="572"/>
      <c r="F96" s="573"/>
      <c r="G96" s="572"/>
      <c r="H96" s="572"/>
      <c r="I96" s="572"/>
      <c r="J96" s="570"/>
      <c r="K96" s="570"/>
      <c r="L96" s="569"/>
    </row>
    <row r="97" spans="1:12" s="566" customFormat="1" ht="6" hidden="1" customHeight="1" x14ac:dyDescent="0.2">
      <c r="B97" s="567"/>
      <c r="F97" s="568"/>
      <c r="L97" s="567"/>
    </row>
    <row r="98" spans="1:12" s="566" customFormat="1" ht="14.1" hidden="1" customHeight="1" x14ac:dyDescent="0.25">
      <c r="B98" s="574"/>
      <c r="C98" s="752" t="s">
        <v>733</v>
      </c>
      <c r="D98" s="752"/>
      <c r="E98" s="752"/>
      <c r="F98" s="752"/>
      <c r="G98" s="752"/>
      <c r="H98" s="752"/>
      <c r="I98" s="752"/>
      <c r="J98" s="574"/>
      <c r="K98" s="574"/>
      <c r="L98" s="567"/>
    </row>
    <row r="99" spans="1:12" s="566" customFormat="1" ht="14.1" hidden="1" customHeight="1" x14ac:dyDescent="0.25">
      <c r="B99" s="574"/>
      <c r="C99" s="752" t="s">
        <v>0</v>
      </c>
      <c r="D99" s="752"/>
      <c r="E99" s="752"/>
      <c r="F99" s="752"/>
      <c r="G99" s="752"/>
      <c r="H99" s="752"/>
      <c r="I99" s="752"/>
      <c r="J99" s="574"/>
      <c r="K99" s="574"/>
      <c r="L99" s="569"/>
    </row>
    <row r="100" spans="1:12" s="566" customFormat="1" ht="14.1" hidden="1" customHeight="1" x14ac:dyDescent="0.25">
      <c r="B100" s="574"/>
      <c r="C100" s="752" t="str">
        <f>+E11</f>
        <v>Del 1 de enero al 31 de diciembre de 2016</v>
      </c>
      <c r="D100" s="752"/>
      <c r="E100" s="752"/>
      <c r="F100" s="752"/>
      <c r="G100" s="752"/>
      <c r="H100" s="752"/>
      <c r="I100" s="752"/>
      <c r="J100" s="574"/>
      <c r="K100" s="574"/>
      <c r="L100" s="569"/>
    </row>
    <row r="101" spans="1:12" s="566" customFormat="1" ht="14.1" hidden="1" customHeight="1" x14ac:dyDescent="0.2">
      <c r="B101" s="575"/>
      <c r="C101" s="753" t="s">
        <v>1</v>
      </c>
      <c r="D101" s="753"/>
      <c r="E101" s="753"/>
      <c r="F101" s="753"/>
      <c r="G101" s="753"/>
      <c r="H101" s="753"/>
      <c r="I101" s="753"/>
      <c r="J101" s="575"/>
      <c r="K101" s="575"/>
      <c r="L101" s="569"/>
    </row>
    <row r="102" spans="1:12" s="566" customFormat="1" ht="20.100000000000001" hidden="1" customHeight="1" x14ac:dyDescent="0.25">
      <c r="A102" s="576"/>
      <c r="B102" s="577"/>
      <c r="C102" s="754" t="s">
        <v>388</v>
      </c>
      <c r="D102" s="754"/>
      <c r="E102" s="754"/>
      <c r="F102" s="754"/>
      <c r="G102" s="754"/>
      <c r="H102" s="754"/>
      <c r="I102" s="754"/>
      <c r="J102" s="578"/>
      <c r="K102" s="564"/>
      <c r="L102" s="569"/>
    </row>
    <row r="103" spans="1:12" s="566" customFormat="1" ht="3" hidden="1" customHeight="1" x14ac:dyDescent="0.2">
      <c r="A103" s="575"/>
      <c r="B103" s="575"/>
      <c r="C103" s="575"/>
      <c r="D103" s="575"/>
      <c r="E103" s="575"/>
      <c r="F103" s="579"/>
      <c r="G103" s="575"/>
      <c r="H103" s="575"/>
      <c r="I103" s="575"/>
      <c r="J103" s="575"/>
      <c r="L103" s="567"/>
    </row>
    <row r="104" spans="1:12" s="566" customFormat="1" ht="3" hidden="1" customHeight="1" x14ac:dyDescent="0.2">
      <c r="A104" s="575"/>
      <c r="B104" s="575"/>
      <c r="C104" s="575"/>
      <c r="D104" s="575"/>
      <c r="E104" s="575"/>
      <c r="F104" s="579"/>
      <c r="G104" s="575"/>
      <c r="H104" s="575"/>
      <c r="I104" s="575"/>
      <c r="J104" s="575"/>
      <c r="K104" s="564"/>
      <c r="L104" s="569"/>
    </row>
    <row r="105" spans="1:12" s="583" customFormat="1" ht="15" hidden="1" customHeight="1" x14ac:dyDescent="0.25">
      <c r="A105" s="757"/>
      <c r="B105" s="759" t="s">
        <v>77</v>
      </c>
      <c r="C105" s="759"/>
      <c r="D105" s="580" t="s">
        <v>5</v>
      </c>
      <c r="E105" s="580"/>
      <c r="F105" s="761"/>
      <c r="G105" s="759" t="s">
        <v>77</v>
      </c>
      <c r="H105" s="759"/>
      <c r="I105" s="580" t="s">
        <v>5</v>
      </c>
      <c r="J105" s="580"/>
      <c r="K105" s="581"/>
      <c r="L105" s="582"/>
    </row>
    <row r="106" spans="1:12" s="583" customFormat="1" ht="15" hidden="1" customHeight="1" x14ac:dyDescent="0.25">
      <c r="A106" s="758"/>
      <c r="B106" s="760"/>
      <c r="C106" s="760"/>
      <c r="D106" s="656">
        <v>2016</v>
      </c>
      <c r="E106" s="656">
        <v>2015</v>
      </c>
      <c r="F106" s="762"/>
      <c r="G106" s="760"/>
      <c r="H106" s="760"/>
      <c r="I106" s="656">
        <v>2016</v>
      </c>
      <c r="J106" s="656">
        <v>2015</v>
      </c>
      <c r="K106" s="584"/>
      <c r="L106" s="582"/>
    </row>
    <row r="107" spans="1:12" s="566" customFormat="1" ht="3" hidden="1" customHeight="1" x14ac:dyDescent="0.2">
      <c r="A107" s="585"/>
      <c r="B107" s="575"/>
      <c r="C107" s="575"/>
      <c r="D107" s="575"/>
      <c r="E107" s="575"/>
      <c r="F107" s="579"/>
      <c r="G107" s="575"/>
      <c r="H107" s="575"/>
      <c r="I107" s="575"/>
      <c r="J107" s="575"/>
      <c r="K107" s="586"/>
      <c r="L107" s="567"/>
    </row>
    <row r="108" spans="1:12" s="566" customFormat="1" ht="3" hidden="1" customHeight="1" x14ac:dyDescent="0.2">
      <c r="A108" s="585"/>
      <c r="B108" s="575"/>
      <c r="C108" s="575"/>
      <c r="D108" s="575"/>
      <c r="E108" s="575"/>
      <c r="F108" s="579"/>
      <c r="G108" s="575"/>
      <c r="H108" s="575"/>
      <c r="I108" s="575"/>
      <c r="J108" s="575"/>
      <c r="K108" s="586"/>
      <c r="L108" s="569"/>
    </row>
    <row r="109" spans="1:12" s="566" customFormat="1" ht="15" hidden="1" x14ac:dyDescent="0.2">
      <c r="A109" s="587"/>
      <c r="B109" s="763" t="s">
        <v>6</v>
      </c>
      <c r="C109" s="763"/>
      <c r="D109" s="588"/>
      <c r="E109" s="589"/>
      <c r="F109" s="568"/>
      <c r="G109" s="763" t="s">
        <v>7</v>
      </c>
      <c r="H109" s="763"/>
      <c r="I109" s="590"/>
      <c r="J109" s="590"/>
      <c r="K109" s="586"/>
      <c r="L109" s="569"/>
    </row>
    <row r="110" spans="1:12" s="566" customFormat="1" ht="5.0999999999999996" hidden="1" customHeight="1" x14ac:dyDescent="0.2">
      <c r="A110" s="587"/>
      <c r="B110" s="591"/>
      <c r="C110" s="590"/>
      <c r="D110" s="592"/>
      <c r="E110" s="592"/>
      <c r="F110" s="568"/>
      <c r="G110" s="591"/>
      <c r="H110" s="590"/>
      <c r="I110" s="593"/>
      <c r="J110" s="593"/>
      <c r="K110" s="586"/>
      <c r="L110" s="569"/>
    </row>
    <row r="111" spans="1:12" s="566" customFormat="1" hidden="1" x14ac:dyDescent="0.2">
      <c r="A111" s="587"/>
      <c r="B111" s="755" t="s">
        <v>8</v>
      </c>
      <c r="C111" s="755"/>
      <c r="D111" s="592"/>
      <c r="E111" s="592"/>
      <c r="F111" s="568"/>
      <c r="G111" s="755" t="s">
        <v>9</v>
      </c>
      <c r="H111" s="755"/>
      <c r="I111" s="592"/>
      <c r="J111" s="592"/>
      <c r="K111" s="586"/>
      <c r="L111" s="569"/>
    </row>
    <row r="112" spans="1:12" s="566" customFormat="1" ht="5.0999999999999996" hidden="1" customHeight="1" x14ac:dyDescent="0.2">
      <c r="A112" s="587"/>
      <c r="B112" s="594"/>
      <c r="C112" s="595"/>
      <c r="D112" s="592"/>
      <c r="E112" s="592"/>
      <c r="F112" s="568"/>
      <c r="G112" s="594"/>
      <c r="H112" s="595"/>
      <c r="I112" s="592"/>
      <c r="J112" s="592"/>
      <c r="K112" s="586"/>
      <c r="L112" s="569"/>
    </row>
    <row r="113" spans="1:12" s="566" customFormat="1" hidden="1" x14ac:dyDescent="0.2">
      <c r="A113" s="587"/>
      <c r="B113" s="756" t="s">
        <v>10</v>
      </c>
      <c r="C113" s="756"/>
      <c r="D113" s="51">
        <v>1736017847.46</v>
      </c>
      <c r="E113" s="51">
        <v>1692666437.73</v>
      </c>
      <c r="F113" s="568"/>
      <c r="G113" s="756" t="s">
        <v>11</v>
      </c>
      <c r="H113" s="756"/>
      <c r="I113" s="596">
        <v>3435836999.0700002</v>
      </c>
      <c r="J113" s="596">
        <v>3161126527.0500002</v>
      </c>
      <c r="K113" s="586"/>
      <c r="L113" s="569"/>
    </row>
    <row r="114" spans="1:12" s="566" customFormat="1" hidden="1" x14ac:dyDescent="0.2">
      <c r="A114" s="587"/>
      <c r="B114" s="756" t="s">
        <v>12</v>
      </c>
      <c r="C114" s="756"/>
      <c r="D114" s="51">
        <v>1098788879.9300001</v>
      </c>
      <c r="E114" s="51">
        <v>877621814</v>
      </c>
      <c r="F114" s="568"/>
      <c r="G114" s="756" t="s">
        <v>13</v>
      </c>
      <c r="H114" s="756"/>
      <c r="I114" s="596">
        <v>0</v>
      </c>
      <c r="J114" s="596">
        <v>0</v>
      </c>
      <c r="K114" s="586"/>
      <c r="L114" s="569"/>
    </row>
    <row r="115" spans="1:12" s="566" customFormat="1" hidden="1" x14ac:dyDescent="0.2">
      <c r="A115" s="587"/>
      <c r="B115" s="756" t="s">
        <v>14</v>
      </c>
      <c r="C115" s="756"/>
      <c r="D115" s="51">
        <v>4118027.31</v>
      </c>
      <c r="E115" s="51">
        <v>9102469.75</v>
      </c>
      <c r="F115" s="568"/>
      <c r="G115" s="756" t="s">
        <v>15</v>
      </c>
      <c r="H115" s="756"/>
      <c r="I115" s="596">
        <v>0</v>
      </c>
      <c r="J115" s="596">
        <v>0</v>
      </c>
      <c r="K115" s="586"/>
      <c r="L115" s="569"/>
    </row>
    <row r="116" spans="1:12" s="566" customFormat="1" hidden="1" x14ac:dyDescent="0.2">
      <c r="A116" s="587"/>
      <c r="B116" s="756" t="s">
        <v>16</v>
      </c>
      <c r="C116" s="756"/>
      <c r="D116" s="51">
        <v>0</v>
      </c>
      <c r="E116" s="51">
        <v>0</v>
      </c>
      <c r="F116" s="568"/>
      <c r="G116" s="756" t="s">
        <v>17</v>
      </c>
      <c r="H116" s="756"/>
      <c r="I116" s="596">
        <v>0</v>
      </c>
      <c r="J116" s="596">
        <v>0</v>
      </c>
      <c r="K116" s="586"/>
      <c r="L116" s="569"/>
    </row>
    <row r="117" spans="1:12" s="566" customFormat="1" hidden="1" x14ac:dyDescent="0.2">
      <c r="A117" s="587"/>
      <c r="B117" s="756" t="s">
        <v>18</v>
      </c>
      <c r="C117" s="756"/>
      <c r="D117" s="51">
        <v>1102672.22</v>
      </c>
      <c r="E117" s="51">
        <v>24695107.960000001</v>
      </c>
      <c r="F117" s="568"/>
      <c r="G117" s="756" t="s">
        <v>19</v>
      </c>
      <c r="H117" s="756"/>
      <c r="I117" s="596">
        <v>0</v>
      </c>
      <c r="J117" s="596">
        <v>0</v>
      </c>
      <c r="K117" s="586"/>
      <c r="L117" s="569"/>
    </row>
    <row r="118" spans="1:12" s="566" customFormat="1" ht="28.5" hidden="1" customHeight="1" x14ac:dyDescent="0.2">
      <c r="A118" s="587"/>
      <c r="B118" s="756" t="s">
        <v>20</v>
      </c>
      <c r="C118" s="756"/>
      <c r="D118" s="51">
        <v>0</v>
      </c>
      <c r="E118" s="51">
        <v>0</v>
      </c>
      <c r="F118" s="568"/>
      <c r="G118" s="764" t="s">
        <v>21</v>
      </c>
      <c r="H118" s="764"/>
      <c r="I118" s="596">
        <v>23777280.579999998</v>
      </c>
      <c r="J118" s="596">
        <v>22184119.579999998</v>
      </c>
      <c r="K118" s="586"/>
      <c r="L118" s="569"/>
    </row>
    <row r="119" spans="1:12" s="566" customFormat="1" hidden="1" x14ac:dyDescent="0.2">
      <c r="A119" s="587"/>
      <c r="B119" s="756" t="s">
        <v>22</v>
      </c>
      <c r="C119" s="756"/>
      <c r="D119" s="51">
        <v>0</v>
      </c>
      <c r="E119" s="51">
        <v>0</v>
      </c>
      <c r="F119" s="568"/>
      <c r="G119" s="756" t="s">
        <v>23</v>
      </c>
      <c r="H119" s="756"/>
      <c r="I119" s="596">
        <v>0</v>
      </c>
      <c r="J119" s="596">
        <v>0</v>
      </c>
      <c r="K119" s="586"/>
      <c r="L119" s="569"/>
    </row>
    <row r="120" spans="1:12" s="566" customFormat="1" hidden="1" x14ac:dyDescent="0.2">
      <c r="A120" s="587"/>
      <c r="B120" s="597"/>
      <c r="C120" s="598"/>
      <c r="D120" s="599"/>
      <c r="E120" s="599"/>
      <c r="F120" s="568"/>
      <c r="G120" s="756" t="s">
        <v>24</v>
      </c>
      <c r="H120" s="756"/>
      <c r="I120" s="596">
        <v>0</v>
      </c>
      <c r="J120" s="596">
        <v>0</v>
      </c>
      <c r="K120" s="586"/>
      <c r="L120" s="569"/>
    </row>
    <row r="121" spans="1:12" s="566" customFormat="1" ht="15" hidden="1" x14ac:dyDescent="0.2">
      <c r="A121" s="600"/>
      <c r="B121" s="755" t="s">
        <v>25</v>
      </c>
      <c r="C121" s="755"/>
      <c r="D121" s="601">
        <f>SUM(D113:D119)</f>
        <v>2840027426.9200001</v>
      </c>
      <c r="E121" s="601">
        <f>SUM(E113:E119)</f>
        <v>2604085829.4400001</v>
      </c>
      <c r="F121" s="602"/>
      <c r="G121" s="591"/>
      <c r="H121" s="590"/>
      <c r="I121" s="603"/>
      <c r="J121" s="603"/>
      <c r="K121" s="586"/>
      <c r="L121" s="569"/>
    </row>
    <row r="122" spans="1:12" s="566" customFormat="1" ht="15" hidden="1" x14ac:dyDescent="0.2">
      <c r="A122" s="600"/>
      <c r="B122" s="591"/>
      <c r="C122" s="604"/>
      <c r="D122" s="603"/>
      <c r="E122" s="603"/>
      <c r="F122" s="602"/>
      <c r="G122" s="755" t="s">
        <v>26</v>
      </c>
      <c r="H122" s="755"/>
      <c r="I122" s="601">
        <f>SUM(I113:I120)</f>
        <v>3459614279.6500001</v>
      </c>
      <c r="J122" s="601">
        <f>SUM(J113:J120)</f>
        <v>3183310646.6300001</v>
      </c>
      <c r="K122" s="586"/>
      <c r="L122" s="569"/>
    </row>
    <row r="123" spans="1:12" s="566" customFormat="1" hidden="1" x14ac:dyDescent="0.2">
      <c r="A123" s="587"/>
      <c r="B123" s="597"/>
      <c r="C123" s="597"/>
      <c r="D123" s="599"/>
      <c r="E123" s="599"/>
      <c r="F123" s="568"/>
      <c r="G123" s="605"/>
      <c r="H123" s="598"/>
      <c r="I123" s="599"/>
      <c r="J123" s="599"/>
      <c r="K123" s="586"/>
      <c r="L123" s="569"/>
    </row>
    <row r="124" spans="1:12" s="566" customFormat="1" hidden="1" x14ac:dyDescent="0.2">
      <c r="A124" s="587"/>
      <c r="B124" s="755" t="s">
        <v>27</v>
      </c>
      <c r="C124" s="755"/>
      <c r="D124" s="592"/>
      <c r="E124" s="592"/>
      <c r="F124" s="568"/>
      <c r="G124" s="755" t="s">
        <v>28</v>
      </c>
      <c r="H124" s="755"/>
      <c r="I124" s="592"/>
      <c r="J124" s="592"/>
      <c r="K124" s="586"/>
      <c r="L124" s="569"/>
    </row>
    <row r="125" spans="1:12" s="566" customFormat="1" hidden="1" x14ac:dyDescent="0.2">
      <c r="A125" s="587"/>
      <c r="B125" s="597"/>
      <c r="C125" s="597"/>
      <c r="D125" s="599"/>
      <c r="E125" s="599"/>
      <c r="F125" s="568"/>
      <c r="G125" s="597"/>
      <c r="H125" s="598"/>
      <c r="I125" s="599"/>
      <c r="J125" s="599"/>
      <c r="K125" s="586"/>
      <c r="L125" s="569"/>
    </row>
    <row r="126" spans="1:12" s="566" customFormat="1" hidden="1" x14ac:dyDescent="0.2">
      <c r="A126" s="587"/>
      <c r="B126" s="756" t="s">
        <v>29</v>
      </c>
      <c r="C126" s="756"/>
      <c r="D126" s="596">
        <v>648869844.78999996</v>
      </c>
      <c r="E126" s="596">
        <v>501780867.79000002</v>
      </c>
      <c r="F126" s="568"/>
      <c r="G126" s="756" t="s">
        <v>30</v>
      </c>
      <c r="H126" s="756"/>
      <c r="I126" s="596">
        <v>0</v>
      </c>
      <c r="J126" s="596">
        <v>0</v>
      </c>
      <c r="K126" s="586"/>
      <c r="L126" s="569"/>
    </row>
    <row r="127" spans="1:12" s="566" customFormat="1" hidden="1" x14ac:dyDescent="0.2">
      <c r="A127" s="587"/>
      <c r="B127" s="756" t="s">
        <v>31</v>
      </c>
      <c r="C127" s="756"/>
      <c r="D127" s="596">
        <v>0</v>
      </c>
      <c r="E127" s="596">
        <v>0</v>
      </c>
      <c r="F127" s="568"/>
      <c r="G127" s="756" t="s">
        <v>32</v>
      </c>
      <c r="H127" s="756"/>
      <c r="I127" s="596">
        <v>0</v>
      </c>
      <c r="J127" s="596">
        <v>0</v>
      </c>
      <c r="K127" s="586"/>
      <c r="L127" s="569"/>
    </row>
    <row r="128" spans="1:12" s="566" customFormat="1" hidden="1" x14ac:dyDescent="0.2">
      <c r="A128" s="587"/>
      <c r="B128" s="756" t="s">
        <v>33</v>
      </c>
      <c r="C128" s="756"/>
      <c r="D128" s="596">
        <f>+'Estado de Situacion Financiera'!D39</f>
        <v>35925837564.269997</v>
      </c>
      <c r="E128" s="596">
        <v>17855756003.700001</v>
      </c>
      <c r="F128" s="568"/>
      <c r="G128" s="756" t="s">
        <v>34</v>
      </c>
      <c r="H128" s="756"/>
      <c r="I128" s="596">
        <v>36494044029.010002</v>
      </c>
      <c r="J128" s="596">
        <v>37513829440.599998</v>
      </c>
      <c r="K128" s="586"/>
      <c r="L128" s="569"/>
    </row>
    <row r="129" spans="1:13" s="566" customFormat="1" hidden="1" x14ac:dyDescent="0.2">
      <c r="A129" s="587"/>
      <c r="B129" s="756" t="s">
        <v>35</v>
      </c>
      <c r="C129" s="756"/>
      <c r="D129" s="596">
        <v>2969920899.6399999</v>
      </c>
      <c r="E129" s="596">
        <v>2758724707.4000001</v>
      </c>
      <c r="F129" s="568"/>
      <c r="G129" s="756" t="s">
        <v>36</v>
      </c>
      <c r="H129" s="756"/>
      <c r="I129" s="596">
        <v>0</v>
      </c>
      <c r="J129" s="596">
        <v>0</v>
      </c>
      <c r="K129" s="586"/>
      <c r="L129" s="569"/>
    </row>
    <row r="130" spans="1:13" s="566" customFormat="1" ht="26.25" hidden="1" customHeight="1" x14ac:dyDescent="0.2">
      <c r="A130" s="587"/>
      <c r="B130" s="756" t="s">
        <v>37</v>
      </c>
      <c r="C130" s="756"/>
      <c r="D130" s="596">
        <v>42181522.609999999</v>
      </c>
      <c r="E130" s="596">
        <v>35933969.060000002</v>
      </c>
      <c r="F130" s="568"/>
      <c r="G130" s="764" t="s">
        <v>38</v>
      </c>
      <c r="H130" s="764"/>
      <c r="I130" s="596">
        <v>0</v>
      </c>
      <c r="J130" s="596">
        <v>0</v>
      </c>
      <c r="K130" s="586"/>
      <c r="L130" s="569"/>
    </row>
    <row r="131" spans="1:13" s="566" customFormat="1" hidden="1" x14ac:dyDescent="0.2">
      <c r="A131" s="587"/>
      <c r="B131" s="756" t="s">
        <v>39</v>
      </c>
      <c r="C131" s="756"/>
      <c r="D131" s="596">
        <v>0</v>
      </c>
      <c r="E131" s="596">
        <v>0</v>
      </c>
      <c r="F131" s="568"/>
      <c r="G131" s="756" t="s">
        <v>40</v>
      </c>
      <c r="H131" s="756"/>
      <c r="I131" s="596">
        <v>0</v>
      </c>
      <c r="J131" s="596">
        <v>0</v>
      </c>
      <c r="K131" s="586"/>
      <c r="L131" s="569"/>
    </row>
    <row r="132" spans="1:13" s="566" customFormat="1" hidden="1" x14ac:dyDescent="0.2">
      <c r="A132" s="587"/>
      <c r="B132" s="756" t="s">
        <v>41</v>
      </c>
      <c r="C132" s="756"/>
      <c r="D132" s="596">
        <v>0</v>
      </c>
      <c r="E132" s="596">
        <v>0</v>
      </c>
      <c r="F132" s="568"/>
      <c r="G132" s="597"/>
      <c r="H132" s="598"/>
      <c r="I132" s="599"/>
      <c r="J132" s="599"/>
      <c r="K132" s="586"/>
      <c r="L132" s="569"/>
    </row>
    <row r="133" spans="1:13" s="566" customFormat="1" ht="15" hidden="1" x14ac:dyDescent="0.2">
      <c r="A133" s="587"/>
      <c r="B133" s="756" t="s">
        <v>42</v>
      </c>
      <c r="C133" s="756"/>
      <c r="D133" s="596">
        <v>0</v>
      </c>
      <c r="E133" s="596">
        <v>0</v>
      </c>
      <c r="F133" s="568"/>
      <c r="G133" s="755" t="s">
        <v>43</v>
      </c>
      <c r="H133" s="755"/>
      <c r="I133" s="601">
        <f>SUM(I126:I131)</f>
        <v>36494044029.010002</v>
      </c>
      <c r="J133" s="601">
        <f>SUM(J126:J131)</f>
        <v>37513829440.599998</v>
      </c>
      <c r="K133" s="586"/>
      <c r="L133" s="569"/>
    </row>
    <row r="134" spans="1:13" s="566" customFormat="1" ht="15" hidden="1" x14ac:dyDescent="0.2">
      <c r="A134" s="587"/>
      <c r="B134" s="756" t="s">
        <v>44</v>
      </c>
      <c r="C134" s="756"/>
      <c r="D134" s="596">
        <v>0</v>
      </c>
      <c r="E134" s="596">
        <v>0</v>
      </c>
      <c r="F134" s="568"/>
      <c r="G134" s="591"/>
      <c r="H134" s="604"/>
      <c r="I134" s="603"/>
      <c r="J134" s="603"/>
      <c r="K134" s="586"/>
      <c r="L134" s="569"/>
    </row>
    <row r="135" spans="1:13" s="566" customFormat="1" ht="15" hidden="1" x14ac:dyDescent="0.2">
      <c r="A135" s="587"/>
      <c r="B135" s="597"/>
      <c r="C135" s="598"/>
      <c r="D135" s="599"/>
      <c r="E135" s="599"/>
      <c r="F135" s="568"/>
      <c r="G135" s="755" t="s">
        <v>190</v>
      </c>
      <c r="H135" s="755"/>
      <c r="I135" s="601">
        <f>I122+I133</f>
        <v>39953658308.660004</v>
      </c>
      <c r="J135" s="601">
        <f>J122+J133</f>
        <v>40697140087.229996</v>
      </c>
      <c r="K135" s="586"/>
      <c r="L135" s="569"/>
    </row>
    <row r="136" spans="1:13" s="566" customFormat="1" ht="15" hidden="1" x14ac:dyDescent="0.2">
      <c r="A136" s="600"/>
      <c r="B136" s="755" t="s">
        <v>46</v>
      </c>
      <c r="C136" s="755"/>
      <c r="D136" s="601">
        <f>SUM(D126:D134)</f>
        <v>39586809831.309998</v>
      </c>
      <c r="E136" s="601">
        <f>SUM(E126:E134)</f>
        <v>21152195547.950005</v>
      </c>
      <c r="F136" s="602"/>
      <c r="G136" s="591"/>
      <c r="H136" s="606"/>
      <c r="I136" s="603"/>
      <c r="J136" s="603"/>
      <c r="K136" s="586"/>
      <c r="L136" s="569"/>
    </row>
    <row r="137" spans="1:13" s="566" customFormat="1" ht="15" hidden="1" x14ac:dyDescent="0.2">
      <c r="A137" s="587"/>
      <c r="B137" s="597"/>
      <c r="C137" s="591"/>
      <c r="D137" s="599"/>
      <c r="E137" s="599"/>
      <c r="F137" s="568"/>
      <c r="G137" s="763" t="s">
        <v>47</v>
      </c>
      <c r="H137" s="763"/>
      <c r="I137" s="599"/>
      <c r="J137" s="599"/>
      <c r="K137" s="586"/>
      <c r="L137" s="569"/>
    </row>
    <row r="138" spans="1:13" s="566" customFormat="1" ht="15" hidden="1" x14ac:dyDescent="0.2">
      <c r="A138" s="587"/>
      <c r="B138" s="755" t="s">
        <v>191</v>
      </c>
      <c r="C138" s="755"/>
      <c r="D138" s="601">
        <f>D121+D136</f>
        <v>42426837258.229996</v>
      </c>
      <c r="E138" s="601">
        <f>E121+E136</f>
        <v>23756281377.390003</v>
      </c>
      <c r="F138" s="568"/>
      <c r="G138" s="591"/>
      <c r="H138" s="606"/>
      <c r="I138" s="599"/>
      <c r="J138" s="599"/>
      <c r="K138" s="586"/>
      <c r="L138" s="569"/>
    </row>
    <row r="139" spans="1:13" s="566" customFormat="1" ht="15" hidden="1" x14ac:dyDescent="0.2">
      <c r="A139" s="587"/>
      <c r="B139" s="597"/>
      <c r="C139" s="597"/>
      <c r="D139" s="599"/>
      <c r="E139" s="599"/>
      <c r="F139" s="568"/>
      <c r="G139" s="755" t="s">
        <v>49</v>
      </c>
      <c r="H139" s="755"/>
      <c r="I139" s="601">
        <f>SUM(I141:I143)</f>
        <v>19318026978.370003</v>
      </c>
      <c r="J139" s="601">
        <f>SUM(J141:J143)</f>
        <v>19318026978.369999</v>
      </c>
      <c r="K139" s="586"/>
      <c r="L139" s="569"/>
    </row>
    <row r="140" spans="1:13" s="566" customFormat="1" hidden="1" x14ac:dyDescent="0.2">
      <c r="A140" s="587"/>
      <c r="B140" s="597"/>
      <c r="C140" s="597"/>
      <c r="D140" s="599"/>
      <c r="E140" s="599"/>
      <c r="F140" s="568"/>
      <c r="G140" s="597"/>
      <c r="H140" s="589"/>
      <c r="I140" s="599"/>
      <c r="J140" s="599"/>
      <c r="K140" s="586"/>
      <c r="L140" s="569"/>
    </row>
    <row r="141" spans="1:13" s="566" customFormat="1" hidden="1" x14ac:dyDescent="0.2">
      <c r="A141" s="587"/>
      <c r="B141" s="597"/>
      <c r="C141" s="597"/>
      <c r="D141" s="599"/>
      <c r="E141" s="599"/>
      <c r="F141" s="568"/>
      <c r="G141" s="756" t="s">
        <v>50</v>
      </c>
      <c r="H141" s="756"/>
      <c r="I141" s="596">
        <f>52267507495.97-32949480517.6</f>
        <v>19318026978.370003</v>
      </c>
      <c r="J141" s="596">
        <v>19318026978.369999</v>
      </c>
      <c r="K141" s="586"/>
      <c r="L141" s="569"/>
      <c r="M141" s="607"/>
    </row>
    <row r="142" spans="1:13" s="566" customFormat="1" hidden="1" x14ac:dyDescent="0.2">
      <c r="A142" s="587"/>
      <c r="B142" s="597"/>
      <c r="C142" s="765"/>
      <c r="D142" s="765"/>
      <c r="E142" s="599"/>
      <c r="F142" s="568"/>
      <c r="G142" s="756" t="s">
        <v>51</v>
      </c>
      <c r="H142" s="756"/>
      <c r="I142" s="596">
        <v>0</v>
      </c>
      <c r="J142" s="596">
        <v>0</v>
      </c>
      <c r="K142" s="586"/>
      <c r="L142" s="569"/>
    </row>
    <row r="143" spans="1:13" s="566" customFormat="1" hidden="1" x14ac:dyDescent="0.2">
      <c r="A143" s="587"/>
      <c r="B143" s="597"/>
      <c r="C143" s="765"/>
      <c r="D143" s="765"/>
      <c r="E143" s="599"/>
      <c r="F143" s="568"/>
      <c r="G143" s="756" t="s">
        <v>52</v>
      </c>
      <c r="H143" s="756"/>
      <c r="I143" s="596">
        <v>0</v>
      </c>
      <c r="J143" s="596">
        <v>0</v>
      </c>
      <c r="K143" s="586"/>
      <c r="L143" s="569"/>
    </row>
    <row r="144" spans="1:13" s="566" customFormat="1" hidden="1" x14ac:dyDescent="0.2">
      <c r="A144" s="587"/>
      <c r="B144" s="597"/>
      <c r="C144" s="765"/>
      <c r="D144" s="765"/>
      <c r="E144" s="599"/>
      <c r="F144" s="568"/>
      <c r="G144" s="597"/>
      <c r="H144" s="589"/>
      <c r="I144" s="599"/>
      <c r="J144" s="599"/>
      <c r="K144" s="586"/>
      <c r="L144" s="569"/>
    </row>
    <row r="145" spans="1:13" s="566" customFormat="1" ht="15" hidden="1" x14ac:dyDescent="0.2">
      <c r="A145" s="587"/>
      <c r="B145" s="597"/>
      <c r="C145" s="765"/>
      <c r="D145" s="765"/>
      <c r="E145" s="599"/>
      <c r="F145" s="568"/>
      <c r="G145" s="755" t="s">
        <v>53</v>
      </c>
      <c r="H145" s="755"/>
      <c r="I145" s="601">
        <f>SUM(I147:I151)</f>
        <v>-16844848028.779991</v>
      </c>
      <c r="J145" s="601">
        <f>SUM(J147:J151)</f>
        <v>-36258885688.210007</v>
      </c>
      <c r="K145" s="586"/>
      <c r="L145" s="569"/>
    </row>
    <row r="146" spans="1:13" s="566" customFormat="1" ht="15" hidden="1" x14ac:dyDescent="0.2">
      <c r="A146" s="587"/>
      <c r="B146" s="597"/>
      <c r="C146" s="765"/>
      <c r="D146" s="765"/>
      <c r="E146" s="599"/>
      <c r="F146" s="568"/>
      <c r="G146" s="591"/>
      <c r="H146" s="589"/>
      <c r="I146" s="608"/>
      <c r="J146" s="608"/>
      <c r="K146" s="586"/>
      <c r="L146" s="569"/>
    </row>
    <row r="147" spans="1:13" s="566" customFormat="1" hidden="1" x14ac:dyDescent="0.2">
      <c r="A147" s="587"/>
      <c r="B147" s="597"/>
      <c r="C147" s="765"/>
      <c r="D147" s="765"/>
      <c r="E147" s="599"/>
      <c r="F147" s="568"/>
      <c r="G147" s="756" t="s">
        <v>54</v>
      </c>
      <c r="H147" s="756"/>
      <c r="I147" s="596">
        <v>2054978217.0799999</v>
      </c>
      <c r="J147" s="596">
        <v>838009765.71000004</v>
      </c>
      <c r="K147" s="586"/>
      <c r="L147" s="569"/>
      <c r="M147" s="607"/>
    </row>
    <row r="148" spans="1:13" s="566" customFormat="1" hidden="1" x14ac:dyDescent="0.2">
      <c r="A148" s="587"/>
      <c r="B148" s="597"/>
      <c r="C148" s="765"/>
      <c r="D148" s="765"/>
      <c r="E148" s="599"/>
      <c r="F148" s="568"/>
      <c r="G148" s="756" t="s">
        <v>55</v>
      </c>
      <c r="H148" s="756"/>
      <c r="I148" s="596">
        <v>-36624897411.519997</v>
      </c>
      <c r="J148" s="596">
        <v>-37462907177.230003</v>
      </c>
      <c r="K148" s="586"/>
      <c r="L148" s="569"/>
      <c r="M148" s="607"/>
    </row>
    <row r="149" spans="1:13" s="566" customFormat="1" hidden="1" x14ac:dyDescent="0.2">
      <c r="A149" s="587"/>
      <c r="B149" s="597"/>
      <c r="C149" s="765"/>
      <c r="D149" s="765"/>
      <c r="E149" s="599"/>
      <c r="F149" s="568"/>
      <c r="G149" s="756" t="s">
        <v>56</v>
      </c>
      <c r="H149" s="756"/>
      <c r="I149" s="596">
        <f>+'Estado de Situacion Financiera'!I60</f>
        <v>17831655388.000004</v>
      </c>
      <c r="J149" s="596">
        <v>0</v>
      </c>
      <c r="K149" s="586"/>
      <c r="L149" s="569"/>
    </row>
    <row r="150" spans="1:13" s="566" customFormat="1" hidden="1" x14ac:dyDescent="0.2">
      <c r="A150" s="587"/>
      <c r="B150" s="597"/>
      <c r="C150" s="597"/>
      <c r="D150" s="599"/>
      <c r="E150" s="599"/>
      <c r="F150" s="568"/>
      <c r="G150" s="756" t="s">
        <v>57</v>
      </c>
      <c r="H150" s="756"/>
      <c r="I150" s="596">
        <v>0</v>
      </c>
      <c r="J150" s="596">
        <v>0</v>
      </c>
      <c r="K150" s="586"/>
      <c r="L150" s="569"/>
    </row>
    <row r="151" spans="1:13" s="566" customFormat="1" hidden="1" x14ac:dyDescent="0.2">
      <c r="A151" s="587"/>
      <c r="B151" s="597"/>
      <c r="C151" s="597"/>
      <c r="D151" s="599"/>
      <c r="E151" s="599"/>
      <c r="F151" s="568"/>
      <c r="G151" s="756" t="s">
        <v>58</v>
      </c>
      <c r="H151" s="756"/>
      <c r="I151" s="596">
        <v>-106584222.34</v>
      </c>
      <c r="J151" s="596">
        <v>366011723.31</v>
      </c>
      <c r="K151" s="586"/>
      <c r="L151" s="569"/>
    </row>
    <row r="152" spans="1:13" s="566" customFormat="1" hidden="1" x14ac:dyDescent="0.2">
      <c r="A152" s="587"/>
      <c r="B152" s="597"/>
      <c r="C152" s="597"/>
      <c r="D152" s="599"/>
      <c r="E152" s="599"/>
      <c r="F152" s="568"/>
      <c r="G152" s="597"/>
      <c r="H152" s="589"/>
      <c r="I152" s="599"/>
      <c r="J152" s="599"/>
      <c r="K152" s="586"/>
      <c r="L152" s="569"/>
    </row>
    <row r="153" spans="1:13" s="566" customFormat="1" ht="25.5" hidden="1" customHeight="1" x14ac:dyDescent="0.2">
      <c r="A153" s="587"/>
      <c r="B153" s="597"/>
      <c r="C153" s="597"/>
      <c r="D153" s="599"/>
      <c r="E153" s="599"/>
      <c r="F153" s="568"/>
      <c r="G153" s="755" t="s">
        <v>59</v>
      </c>
      <c r="H153" s="755"/>
      <c r="I153" s="601">
        <f>SUM(I155:I156)</f>
        <v>0</v>
      </c>
      <c r="J153" s="601">
        <f>SUM(J155:J156)</f>
        <v>0</v>
      </c>
      <c r="K153" s="586"/>
      <c r="L153" s="569"/>
    </row>
    <row r="154" spans="1:13" s="566" customFormat="1" hidden="1" x14ac:dyDescent="0.2">
      <c r="A154" s="587"/>
      <c r="B154" s="597"/>
      <c r="C154" s="597"/>
      <c r="D154" s="599"/>
      <c r="E154" s="599"/>
      <c r="F154" s="568"/>
      <c r="G154" s="597"/>
      <c r="H154" s="589"/>
      <c r="I154" s="599"/>
      <c r="J154" s="599"/>
      <c r="K154" s="586"/>
      <c r="L154" s="569"/>
    </row>
    <row r="155" spans="1:13" s="566" customFormat="1" hidden="1" x14ac:dyDescent="0.2">
      <c r="A155" s="587"/>
      <c r="B155" s="597"/>
      <c r="C155" s="597"/>
      <c r="D155" s="599"/>
      <c r="E155" s="599"/>
      <c r="F155" s="568"/>
      <c r="G155" s="756" t="s">
        <v>60</v>
      </c>
      <c r="H155" s="756"/>
      <c r="I155" s="596">
        <v>0</v>
      </c>
      <c r="J155" s="596">
        <v>0</v>
      </c>
      <c r="K155" s="586"/>
      <c r="L155" s="569"/>
    </row>
    <row r="156" spans="1:13" s="566" customFormat="1" hidden="1" x14ac:dyDescent="0.2">
      <c r="A156" s="587"/>
      <c r="B156" s="597"/>
      <c r="C156" s="597"/>
      <c r="D156" s="599"/>
      <c r="E156" s="599"/>
      <c r="F156" s="568"/>
      <c r="G156" s="756" t="s">
        <v>61</v>
      </c>
      <c r="H156" s="756"/>
      <c r="I156" s="596">
        <v>0</v>
      </c>
      <c r="J156" s="596">
        <v>0</v>
      </c>
      <c r="K156" s="586"/>
      <c r="L156" s="569"/>
    </row>
    <row r="157" spans="1:13" s="566" customFormat="1" ht="9.9499999999999993" hidden="1" customHeight="1" x14ac:dyDescent="0.2">
      <c r="A157" s="587"/>
      <c r="B157" s="597"/>
      <c r="C157" s="597"/>
      <c r="D157" s="599"/>
      <c r="E157" s="599"/>
      <c r="F157" s="568"/>
      <c r="G157" s="597"/>
      <c r="H157" s="609"/>
      <c r="I157" s="599"/>
      <c r="J157" s="599"/>
      <c r="K157" s="586"/>
      <c r="L157" s="569"/>
    </row>
    <row r="158" spans="1:13" s="566" customFormat="1" ht="15" hidden="1" x14ac:dyDescent="0.2">
      <c r="A158" s="587"/>
      <c r="B158" s="597"/>
      <c r="C158" s="597"/>
      <c r="D158" s="599"/>
      <c r="E158" s="599"/>
      <c r="F158" s="568"/>
      <c r="G158" s="755" t="s">
        <v>62</v>
      </c>
      <c r="H158" s="755"/>
      <c r="I158" s="601">
        <f>I139+I145+I153</f>
        <v>2473178949.5900116</v>
      </c>
      <c r="J158" s="601">
        <f>J139+J145+J153</f>
        <v>-16940858709.840008</v>
      </c>
      <c r="K158" s="586"/>
      <c r="L158" s="569"/>
    </row>
    <row r="159" spans="1:13" s="566" customFormat="1" ht="9.9499999999999993" hidden="1" customHeight="1" x14ac:dyDescent="0.2">
      <c r="A159" s="587"/>
      <c r="B159" s="597"/>
      <c r="C159" s="597"/>
      <c r="D159" s="599"/>
      <c r="E159" s="599"/>
      <c r="F159" s="568"/>
      <c r="G159" s="597"/>
      <c r="H159" s="589"/>
      <c r="I159" s="599"/>
      <c r="J159" s="599"/>
      <c r="K159" s="586"/>
      <c r="L159" s="569"/>
    </row>
    <row r="160" spans="1:13" s="566" customFormat="1" ht="15" hidden="1" x14ac:dyDescent="0.2">
      <c r="A160" s="587"/>
      <c r="B160" s="597"/>
      <c r="C160" s="597"/>
      <c r="D160" s="599"/>
      <c r="E160" s="599"/>
      <c r="F160" s="568"/>
      <c r="G160" s="755" t="s">
        <v>192</v>
      </c>
      <c r="H160" s="755"/>
      <c r="I160" s="601">
        <f>I135+I158</f>
        <v>42426837258.250015</v>
      </c>
      <c r="J160" s="601">
        <f>J135+J158</f>
        <v>23756281377.389988</v>
      </c>
      <c r="K160" s="586"/>
      <c r="L160" s="569"/>
      <c r="M160" s="610"/>
    </row>
    <row r="161" spans="1:12" s="566" customFormat="1" ht="6" hidden="1" customHeight="1" x14ac:dyDescent="0.2">
      <c r="A161" s="611"/>
      <c r="B161" s="612"/>
      <c r="C161" s="612"/>
      <c r="D161" s="612"/>
      <c r="E161" s="612"/>
      <c r="F161" s="613"/>
      <c r="G161" s="612"/>
      <c r="H161" s="612"/>
      <c r="I161" s="612"/>
      <c r="J161" s="612"/>
      <c r="K161" s="614"/>
      <c r="L161" s="569"/>
    </row>
    <row r="162" spans="1:12" s="566" customFormat="1" ht="6" hidden="1" customHeight="1" x14ac:dyDescent="0.2">
      <c r="B162" s="589"/>
      <c r="C162" s="615"/>
      <c r="D162" s="616"/>
      <c r="E162" s="616"/>
      <c r="F162" s="568"/>
      <c r="G162" s="617"/>
      <c r="H162" s="615"/>
      <c r="I162" s="616"/>
      <c r="J162" s="616"/>
      <c r="K162" s="564"/>
      <c r="L162" s="569"/>
    </row>
    <row r="163" spans="1:12" s="566" customFormat="1" ht="6" hidden="1" customHeight="1" x14ac:dyDescent="0.2">
      <c r="A163" s="618"/>
      <c r="B163" s="619"/>
      <c r="C163" s="620"/>
      <c r="D163" s="621"/>
      <c r="E163" s="621"/>
      <c r="F163" s="613"/>
      <c r="G163" s="622"/>
      <c r="H163" s="620"/>
      <c r="I163" s="621"/>
      <c r="J163" s="621"/>
      <c r="K163" s="564"/>
      <c r="L163" s="569"/>
    </row>
    <row r="164" spans="1:12" s="566" customFormat="1" ht="6" hidden="1" customHeight="1" x14ac:dyDescent="0.2">
      <c r="B164" s="589"/>
      <c r="C164" s="615"/>
      <c r="D164" s="616"/>
      <c r="E164" s="616"/>
      <c r="F164" s="568"/>
      <c r="G164" s="617"/>
      <c r="H164" s="615"/>
      <c r="I164" s="616"/>
      <c r="J164" s="616"/>
      <c r="K164" s="564"/>
      <c r="L164" s="569"/>
    </row>
    <row r="165" spans="1:12" s="566" customFormat="1" ht="15" hidden="1" customHeight="1" x14ac:dyDescent="0.2">
      <c r="B165" s="769" t="s">
        <v>78</v>
      </c>
      <c r="C165" s="769"/>
      <c r="D165" s="769"/>
      <c r="E165" s="769"/>
      <c r="F165" s="769"/>
      <c r="G165" s="769"/>
      <c r="H165" s="769"/>
      <c r="I165" s="769"/>
      <c r="J165" s="769"/>
      <c r="K165" s="564"/>
      <c r="L165" s="569"/>
    </row>
    <row r="166" spans="1:12" s="566" customFormat="1" ht="9.75" hidden="1" customHeight="1" x14ac:dyDescent="0.2">
      <c r="B166" s="589"/>
      <c r="C166" s="615"/>
      <c r="D166" s="616"/>
      <c r="E166" s="616"/>
      <c r="F166" s="568"/>
      <c r="G166" s="617"/>
      <c r="H166" s="615"/>
      <c r="I166" s="616"/>
      <c r="J166" s="616"/>
      <c r="K166" s="564"/>
      <c r="L166" s="569"/>
    </row>
    <row r="167" spans="1:12" s="566" customFormat="1" ht="50.1" hidden="1" customHeight="1" x14ac:dyDescent="0.2">
      <c r="B167" s="589"/>
      <c r="C167" s="770"/>
      <c r="D167" s="770"/>
      <c r="E167" s="616"/>
      <c r="F167" s="568"/>
      <c r="G167" s="771"/>
      <c r="H167" s="771"/>
      <c r="I167" s="657">
        <f>+I160-D138</f>
        <v>2.001953125E-2</v>
      </c>
      <c r="J167" s="657">
        <f>+J160-E138</f>
        <v>0</v>
      </c>
      <c r="K167" s="564"/>
      <c r="L167" s="569"/>
    </row>
    <row r="168" spans="1:12" s="566" customFormat="1" ht="14.1" hidden="1" customHeight="1" x14ac:dyDescent="0.2">
      <c r="B168" s="623"/>
      <c r="C168" s="766" t="s">
        <v>403</v>
      </c>
      <c r="D168" s="766"/>
      <c r="E168" s="616"/>
      <c r="F168" s="624"/>
      <c r="G168" s="767" t="s">
        <v>474</v>
      </c>
      <c r="H168" s="767"/>
      <c r="I168" s="625"/>
      <c r="J168" s="625"/>
      <c r="K168" s="625"/>
      <c r="L168" s="625"/>
    </row>
    <row r="169" spans="1:12" s="566" customFormat="1" ht="14.1" hidden="1" customHeight="1" x14ac:dyDescent="0.2">
      <c r="B169" s="626"/>
      <c r="C169" s="768" t="s">
        <v>402</v>
      </c>
      <c r="D169" s="768"/>
      <c r="E169" s="627"/>
      <c r="F169" s="624"/>
      <c r="G169" s="768" t="s">
        <v>475</v>
      </c>
      <c r="H169" s="768"/>
      <c r="I169" s="590"/>
      <c r="J169" s="616"/>
      <c r="K169" s="564"/>
      <c r="L169" s="569"/>
    </row>
    <row r="170" spans="1:12" s="564" customFormat="1" hidden="1" x14ac:dyDescent="0.2">
      <c r="J170" s="565"/>
    </row>
    <row r="171" spans="1:12" s="564" customFormat="1" hidden="1" x14ac:dyDescent="0.2">
      <c r="J171" s="565"/>
    </row>
    <row r="172" spans="1:12" s="564" customFormat="1" hidden="1" x14ac:dyDescent="0.2">
      <c r="J172" s="565"/>
    </row>
    <row r="173" spans="1:12" s="564" customFormat="1" hidden="1" x14ac:dyDescent="0.2">
      <c r="J173" s="565"/>
    </row>
  </sheetData>
  <sheetProtection formatCells="0" selectLockedCells="1"/>
  <mergeCells count="137">
    <mergeCell ref="C168:D168"/>
    <mergeCell ref="G168:H168"/>
    <mergeCell ref="C169:D169"/>
    <mergeCell ref="G169:H169"/>
    <mergeCell ref="G158:H158"/>
    <mergeCell ref="G160:H160"/>
    <mergeCell ref="B165:J165"/>
    <mergeCell ref="C167:D167"/>
    <mergeCell ref="G167:H167"/>
    <mergeCell ref="G150:H150"/>
    <mergeCell ref="G151:H151"/>
    <mergeCell ref="G153:H153"/>
    <mergeCell ref="G155:H155"/>
    <mergeCell ref="G156:H156"/>
    <mergeCell ref="G137:H137"/>
    <mergeCell ref="B138:C138"/>
    <mergeCell ref="G139:H139"/>
    <mergeCell ref="G141:H141"/>
    <mergeCell ref="C142:D149"/>
    <mergeCell ref="G142:H142"/>
    <mergeCell ref="G143:H143"/>
    <mergeCell ref="G145:H145"/>
    <mergeCell ref="G147:H147"/>
    <mergeCell ref="G148:H148"/>
    <mergeCell ref="G149:H149"/>
    <mergeCell ref="B133:C133"/>
    <mergeCell ref="G133:H133"/>
    <mergeCell ref="B134:C134"/>
    <mergeCell ref="G135:H135"/>
    <mergeCell ref="B136:C136"/>
    <mergeCell ref="B130:C130"/>
    <mergeCell ref="G130:H130"/>
    <mergeCell ref="B131:C131"/>
    <mergeCell ref="G131:H131"/>
    <mergeCell ref="B132:C132"/>
    <mergeCell ref="B127:C127"/>
    <mergeCell ref="G127:H127"/>
    <mergeCell ref="B128:C128"/>
    <mergeCell ref="G128:H128"/>
    <mergeCell ref="B129:C129"/>
    <mergeCell ref="G129:H129"/>
    <mergeCell ref="B121:C121"/>
    <mergeCell ref="G122:H122"/>
    <mergeCell ref="B124:C124"/>
    <mergeCell ref="G124:H124"/>
    <mergeCell ref="B126:C126"/>
    <mergeCell ref="G126:H126"/>
    <mergeCell ref="B118:C118"/>
    <mergeCell ref="G118:H118"/>
    <mergeCell ref="B119:C119"/>
    <mergeCell ref="G119:H119"/>
    <mergeCell ref="G120:H120"/>
    <mergeCell ref="B115:C115"/>
    <mergeCell ref="G115:H115"/>
    <mergeCell ref="B116:C116"/>
    <mergeCell ref="G116:H116"/>
    <mergeCell ref="B117:C117"/>
    <mergeCell ref="G117:H117"/>
    <mergeCell ref="B111:C111"/>
    <mergeCell ref="G111:H111"/>
    <mergeCell ref="B113:C113"/>
    <mergeCell ref="G113:H113"/>
    <mergeCell ref="B114:C114"/>
    <mergeCell ref="G114:H114"/>
    <mergeCell ref="A105:A106"/>
    <mergeCell ref="B105:C106"/>
    <mergeCell ref="F105:F106"/>
    <mergeCell ref="G105:H106"/>
    <mergeCell ref="B109:C109"/>
    <mergeCell ref="G109:H109"/>
    <mergeCell ref="C98:I98"/>
    <mergeCell ref="C99:I99"/>
    <mergeCell ref="C100:I100"/>
    <mergeCell ref="C101:I101"/>
    <mergeCell ref="C102:I102"/>
    <mergeCell ref="D20:E20"/>
    <mergeCell ref="D22:E22"/>
    <mergeCell ref="D24:E24"/>
    <mergeCell ref="D25:E25"/>
    <mergeCell ref="D26:E26"/>
    <mergeCell ref="I25:J25"/>
    <mergeCell ref="D39:E39"/>
    <mergeCell ref="D27:E27"/>
    <mergeCell ref="D28:E28"/>
    <mergeCell ref="D29:E29"/>
    <mergeCell ref="D30:E30"/>
    <mergeCell ref="I39:J39"/>
    <mergeCell ref="I30:J30"/>
    <mergeCell ref="D41:E41"/>
    <mergeCell ref="D40:E40"/>
    <mergeCell ref="D34:E34"/>
    <mergeCell ref="D35:E35"/>
    <mergeCell ref="D38:E38"/>
    <mergeCell ref="I60:J60"/>
    <mergeCell ref="E69:F69"/>
    <mergeCell ref="D65:L65"/>
    <mergeCell ref="E68:F68"/>
    <mergeCell ref="I61:J61"/>
    <mergeCell ref="I68:K68"/>
    <mergeCell ref="I69:K69"/>
    <mergeCell ref="I53:J53"/>
    <mergeCell ref="I54:J54"/>
    <mergeCell ref="I55:J55"/>
    <mergeCell ref="I56:J56"/>
    <mergeCell ref="I58:J58"/>
    <mergeCell ref="D42:E42"/>
    <mergeCell ref="I40:J40"/>
    <mergeCell ref="I47:J47"/>
    <mergeCell ref="I52:J52"/>
    <mergeCell ref="I31:J31"/>
    <mergeCell ref="I33:J33"/>
    <mergeCell ref="I35:J35"/>
    <mergeCell ref="I44:J44"/>
    <mergeCell ref="I46:J46"/>
    <mergeCell ref="I50:J50"/>
    <mergeCell ref="I48:J48"/>
    <mergeCell ref="I42:J42"/>
    <mergeCell ref="I36:J36"/>
    <mergeCell ref="I37:J37"/>
    <mergeCell ref="I38:J38"/>
    <mergeCell ref="D32:E32"/>
    <mergeCell ref="D17:E17"/>
    <mergeCell ref="D36:E36"/>
    <mergeCell ref="D37:E37"/>
    <mergeCell ref="E9:K9"/>
    <mergeCell ref="E10:K10"/>
    <mergeCell ref="E11:K11"/>
    <mergeCell ref="E12:K12"/>
    <mergeCell ref="I17:J17"/>
    <mergeCell ref="E13:K13"/>
    <mergeCell ref="I28:J28"/>
    <mergeCell ref="I29:J29"/>
    <mergeCell ref="I27:J27"/>
    <mergeCell ref="I26:J26"/>
    <mergeCell ref="I20:J20"/>
    <mergeCell ref="I22:J22"/>
    <mergeCell ref="I24:J24"/>
  </mergeCells>
  <conditionalFormatting sqref="C142:D149">
    <cfRule type="expression" dxfId="1" priority="1">
      <formula>$E$49&lt;&gt;$J$71</formula>
    </cfRule>
    <cfRule type="expression" dxfId="0" priority="2">
      <formula>$D$49&lt;&gt;$I$71</formula>
    </cfRule>
  </conditionalFormatting>
  <printOptions horizontalCentered="1" verticalCentered="1"/>
  <pageMargins left="0.70866141732283472" right="0.19685039370078741" top="0.19685039370078741" bottom="0.47244094488188981" header="0.15748031496062992" footer="0.31496062992125984"/>
  <pageSetup paperSize="119" scale="5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21"/>
  <sheetViews>
    <sheetView workbookViewId="0">
      <selection activeCell="A2" sqref="A2:E3"/>
    </sheetView>
  </sheetViews>
  <sheetFormatPr baseColWidth="10" defaultRowHeight="15" x14ac:dyDescent="0.25"/>
  <cols>
    <col min="4" max="5" width="11.42578125" style="7"/>
  </cols>
  <sheetData>
    <row r="2" spans="1:5" x14ac:dyDescent="0.25">
      <c r="A2" s="781" t="s">
        <v>2</v>
      </c>
      <c r="B2" s="781"/>
      <c r="C2" s="781"/>
      <c r="D2" s="781"/>
      <c r="E2" s="13" t="e">
        <f>'Estado de Situacion Financiera'!#REF!</f>
        <v>#REF!</v>
      </c>
    </row>
    <row r="3" spans="1:5" ht="23.25" x14ac:dyDescent="0.25">
      <c r="A3" s="781" t="s">
        <v>4</v>
      </c>
      <c r="B3" s="781"/>
      <c r="C3" s="781"/>
      <c r="D3" s="781"/>
      <c r="E3" s="13" t="str">
        <f>'Estado de Situacion Financiera'!C13</f>
        <v xml:space="preserve">SECRETARIA DE FINANZAS </v>
      </c>
    </row>
    <row r="4" spans="1:5" x14ac:dyDescent="0.25">
      <c r="A4" s="781" t="s">
        <v>3</v>
      </c>
      <c r="B4" s="781"/>
      <c r="C4" s="781"/>
      <c r="D4" s="781"/>
      <c r="E4" s="14"/>
    </row>
    <row r="5" spans="1:5" x14ac:dyDescent="0.25">
      <c r="A5" s="781" t="s">
        <v>73</v>
      </c>
      <c r="B5" s="781"/>
      <c r="C5" s="781"/>
      <c r="D5" s="781"/>
      <c r="E5" t="s">
        <v>71</v>
      </c>
    </row>
    <row r="6" spans="1:5" x14ac:dyDescent="0.25">
      <c r="A6" s="6"/>
      <c r="B6" s="6"/>
      <c r="C6" s="776" t="s">
        <v>5</v>
      </c>
      <c r="D6" s="776"/>
      <c r="E6" s="1">
        <v>2013</v>
      </c>
    </row>
    <row r="7" spans="1:5" x14ac:dyDescent="0.25">
      <c r="A7" s="772" t="s">
        <v>69</v>
      </c>
      <c r="B7" s="773" t="s">
        <v>8</v>
      </c>
      <c r="C7" s="774" t="s">
        <v>10</v>
      </c>
      <c r="D7" s="774"/>
      <c r="E7" s="8">
        <f>'Estado de Situacion Financiera'!D24</f>
        <v>1736017847.46</v>
      </c>
    </row>
    <row r="8" spans="1:5" x14ac:dyDescent="0.25">
      <c r="A8" s="772"/>
      <c r="B8" s="773"/>
      <c r="C8" s="774" t="s">
        <v>12</v>
      </c>
      <c r="D8" s="774"/>
      <c r="E8" s="8">
        <f>'Estado de Situacion Financiera'!D25</f>
        <v>1098788879.9300001</v>
      </c>
    </row>
    <row r="9" spans="1:5" x14ac:dyDescent="0.25">
      <c r="A9" s="772"/>
      <c r="B9" s="773"/>
      <c r="C9" s="774" t="s">
        <v>14</v>
      </c>
      <c r="D9" s="774"/>
      <c r="E9" s="8">
        <f>'Estado de Situacion Financiera'!D26</f>
        <v>4118027.31</v>
      </c>
    </row>
    <row r="10" spans="1:5" x14ac:dyDescent="0.25">
      <c r="A10" s="772"/>
      <c r="B10" s="773"/>
      <c r="C10" s="774" t="s">
        <v>16</v>
      </c>
      <c r="D10" s="774"/>
      <c r="E10" s="8">
        <f>'Estado de Situacion Financiera'!D27</f>
        <v>0</v>
      </c>
    </row>
    <row r="11" spans="1:5" x14ac:dyDescent="0.25">
      <c r="A11" s="772"/>
      <c r="B11" s="773"/>
      <c r="C11" s="774" t="s">
        <v>18</v>
      </c>
      <c r="D11" s="774"/>
      <c r="E11" s="8">
        <f>'Estado de Situacion Financiera'!D28</f>
        <v>1102672.22</v>
      </c>
    </row>
    <row r="12" spans="1:5" x14ac:dyDescent="0.25">
      <c r="A12" s="772"/>
      <c r="B12" s="773"/>
      <c r="C12" s="774" t="s">
        <v>20</v>
      </c>
      <c r="D12" s="774"/>
      <c r="E12" s="8">
        <f>'Estado de Situacion Financiera'!D29</f>
        <v>0</v>
      </c>
    </row>
    <row r="13" spans="1:5" x14ac:dyDescent="0.25">
      <c r="A13" s="772"/>
      <c r="B13" s="773"/>
      <c r="C13" s="774" t="s">
        <v>22</v>
      </c>
      <c r="D13" s="774"/>
      <c r="E13" s="8">
        <f>'Estado de Situacion Financiera'!D30</f>
        <v>0</v>
      </c>
    </row>
    <row r="14" spans="1:5" ht="15.75" thickBot="1" x14ac:dyDescent="0.3">
      <c r="A14" s="772"/>
      <c r="B14" s="4"/>
      <c r="C14" s="775" t="s">
        <v>25</v>
      </c>
      <c r="D14" s="775"/>
      <c r="E14" s="9">
        <f>'Estado de Situacion Financiera'!D32</f>
        <v>2840027426.9200001</v>
      </c>
    </row>
    <row r="15" spans="1:5" x14ac:dyDescent="0.25">
      <c r="A15" s="772"/>
      <c r="B15" s="773" t="s">
        <v>27</v>
      </c>
      <c r="C15" s="774" t="s">
        <v>29</v>
      </c>
      <c r="D15" s="774"/>
      <c r="E15" s="8">
        <f>'Estado de Situacion Financiera'!D37</f>
        <v>648869844.78999996</v>
      </c>
    </row>
    <row r="16" spans="1:5" x14ac:dyDescent="0.25">
      <c r="A16" s="772"/>
      <c r="B16" s="773"/>
      <c r="C16" s="774" t="s">
        <v>31</v>
      </c>
      <c r="D16" s="774"/>
      <c r="E16" s="8">
        <f>'Estado de Situacion Financiera'!D38</f>
        <v>0</v>
      </c>
    </row>
    <row r="17" spans="1:5" x14ac:dyDescent="0.25">
      <c r="A17" s="772"/>
      <c r="B17" s="773"/>
      <c r="C17" s="774" t="s">
        <v>33</v>
      </c>
      <c r="D17" s="774"/>
      <c r="E17" s="8">
        <f>'Estado de Situacion Financiera'!D39</f>
        <v>35925837564.269997</v>
      </c>
    </row>
    <row r="18" spans="1:5" x14ac:dyDescent="0.25">
      <c r="A18" s="772"/>
      <c r="B18" s="773"/>
      <c r="C18" s="774" t="s">
        <v>35</v>
      </c>
      <c r="D18" s="774"/>
      <c r="E18" s="8">
        <f>'Estado de Situacion Financiera'!D40</f>
        <v>2969920899.6399999</v>
      </c>
    </row>
    <row r="19" spans="1:5" x14ac:dyDescent="0.25">
      <c r="A19" s="772"/>
      <c r="B19" s="773"/>
      <c r="C19" s="774" t="s">
        <v>37</v>
      </c>
      <c r="D19" s="774"/>
      <c r="E19" s="8">
        <f>'Estado de Situacion Financiera'!D41</f>
        <v>42181522.609999999</v>
      </c>
    </row>
    <row r="20" spans="1:5" x14ac:dyDescent="0.25">
      <c r="A20" s="772"/>
      <c r="B20" s="773"/>
      <c r="C20" s="774" t="s">
        <v>39</v>
      </c>
      <c r="D20" s="774"/>
      <c r="E20" s="8">
        <f>'Estado de Situacion Financiera'!D42</f>
        <v>0</v>
      </c>
    </row>
    <row r="21" spans="1:5" x14ac:dyDescent="0.25">
      <c r="A21" s="772"/>
      <c r="B21" s="773"/>
      <c r="C21" s="774" t="s">
        <v>41</v>
      </c>
      <c r="D21" s="774"/>
      <c r="E21" s="8">
        <f>'Estado de Situacion Financiera'!D43</f>
        <v>0</v>
      </c>
    </row>
    <row r="22" spans="1:5" x14ac:dyDescent="0.25">
      <c r="A22" s="772"/>
      <c r="B22" s="773"/>
      <c r="C22" s="774" t="s">
        <v>42</v>
      </c>
      <c r="D22" s="774"/>
      <c r="E22" s="8">
        <f>'Estado de Situacion Financiera'!D44</f>
        <v>0</v>
      </c>
    </row>
    <row r="23" spans="1:5" x14ac:dyDescent="0.25">
      <c r="A23" s="772"/>
      <c r="B23" s="773"/>
      <c r="C23" s="774" t="s">
        <v>44</v>
      </c>
      <c r="D23" s="774"/>
      <c r="E23" s="8">
        <f>'Estado de Situacion Financiera'!D45</f>
        <v>0</v>
      </c>
    </row>
    <row r="24" spans="1:5" ht="15.75" thickBot="1" x14ac:dyDescent="0.3">
      <c r="A24" s="772"/>
      <c r="B24" s="4"/>
      <c r="C24" s="775" t="s">
        <v>46</v>
      </c>
      <c r="D24" s="775"/>
      <c r="E24" s="9">
        <f>'Estado de Situacion Financiera'!D47</f>
        <v>39586809831.309998</v>
      </c>
    </row>
    <row r="25" spans="1:5" ht="15.75" thickBot="1" x14ac:dyDescent="0.3">
      <c r="A25" s="772"/>
      <c r="B25" s="2"/>
      <c r="C25" s="775" t="s">
        <v>48</v>
      </c>
      <c r="D25" s="775"/>
      <c r="E25" s="9">
        <f>'Estado de Situacion Financiera'!D49</f>
        <v>42426837258.229996</v>
      </c>
    </row>
    <row r="26" spans="1:5" x14ac:dyDescent="0.25">
      <c r="A26" s="772" t="s">
        <v>70</v>
      </c>
      <c r="B26" s="773" t="s">
        <v>9</v>
      </c>
      <c r="C26" s="774" t="s">
        <v>11</v>
      </c>
      <c r="D26" s="774"/>
      <c r="E26" s="8">
        <f>'Estado de Situacion Financiera'!I24</f>
        <v>3435836999.0700002</v>
      </c>
    </row>
    <row r="27" spans="1:5" x14ac:dyDescent="0.25">
      <c r="A27" s="772"/>
      <c r="B27" s="773"/>
      <c r="C27" s="774" t="s">
        <v>13</v>
      </c>
      <c r="D27" s="774"/>
      <c r="E27" s="8">
        <f>'Estado de Situacion Financiera'!I25</f>
        <v>0</v>
      </c>
    </row>
    <row r="28" spans="1:5" x14ac:dyDescent="0.25">
      <c r="A28" s="772"/>
      <c r="B28" s="773"/>
      <c r="C28" s="774" t="s">
        <v>15</v>
      </c>
      <c r="D28" s="774"/>
      <c r="E28" s="8">
        <f>'Estado de Situacion Financiera'!I26</f>
        <v>0</v>
      </c>
    </row>
    <row r="29" spans="1:5" x14ac:dyDescent="0.25">
      <c r="A29" s="772"/>
      <c r="B29" s="773"/>
      <c r="C29" s="774" t="s">
        <v>17</v>
      </c>
      <c r="D29" s="774"/>
      <c r="E29" s="8">
        <f>'Estado de Situacion Financiera'!I27</f>
        <v>0</v>
      </c>
    </row>
    <row r="30" spans="1:5" x14ac:dyDescent="0.25">
      <c r="A30" s="772"/>
      <c r="B30" s="773"/>
      <c r="C30" s="774" t="s">
        <v>19</v>
      </c>
      <c r="D30" s="774"/>
      <c r="E30" s="8">
        <f>'Estado de Situacion Financiera'!I28</f>
        <v>0</v>
      </c>
    </row>
    <row r="31" spans="1:5" x14ac:dyDescent="0.25">
      <c r="A31" s="772"/>
      <c r="B31" s="773"/>
      <c r="C31" s="774" t="s">
        <v>21</v>
      </c>
      <c r="D31" s="774"/>
      <c r="E31" s="8">
        <f>'Estado de Situacion Financiera'!I29</f>
        <v>23777280.579999998</v>
      </c>
    </row>
    <row r="32" spans="1:5" x14ac:dyDescent="0.25">
      <c r="A32" s="772"/>
      <c r="B32" s="773"/>
      <c r="C32" s="774" t="s">
        <v>23</v>
      </c>
      <c r="D32" s="774"/>
      <c r="E32" s="8">
        <f>'Estado de Situacion Financiera'!I30</f>
        <v>0</v>
      </c>
    </row>
    <row r="33" spans="1:5" x14ac:dyDescent="0.25">
      <c r="A33" s="772"/>
      <c r="B33" s="773"/>
      <c r="C33" s="774" t="s">
        <v>24</v>
      </c>
      <c r="D33" s="774"/>
      <c r="E33" s="8">
        <f>'Estado de Situacion Financiera'!I31</f>
        <v>0</v>
      </c>
    </row>
    <row r="34" spans="1:5" ht="15.75" thickBot="1" x14ac:dyDescent="0.3">
      <c r="A34" s="772"/>
      <c r="B34" s="4"/>
      <c r="C34" s="775" t="s">
        <v>26</v>
      </c>
      <c r="D34" s="775"/>
      <c r="E34" s="9">
        <f>'Estado de Situacion Financiera'!I33</f>
        <v>3459614279.6500001</v>
      </c>
    </row>
    <row r="35" spans="1:5" x14ac:dyDescent="0.25">
      <c r="A35" s="772"/>
      <c r="B35" s="773" t="s">
        <v>28</v>
      </c>
      <c r="C35" s="774" t="s">
        <v>30</v>
      </c>
      <c r="D35" s="774"/>
      <c r="E35" s="8">
        <f>'Estado de Situacion Financiera'!I37</f>
        <v>0</v>
      </c>
    </row>
    <row r="36" spans="1:5" x14ac:dyDescent="0.25">
      <c r="A36" s="772"/>
      <c r="B36" s="773"/>
      <c r="C36" s="774" t="s">
        <v>32</v>
      </c>
      <c r="D36" s="774"/>
      <c r="E36" s="8">
        <f>'Estado de Situacion Financiera'!I38</f>
        <v>0</v>
      </c>
    </row>
    <row r="37" spans="1:5" x14ac:dyDescent="0.25">
      <c r="A37" s="772"/>
      <c r="B37" s="773"/>
      <c r="C37" s="774" t="s">
        <v>34</v>
      </c>
      <c r="D37" s="774"/>
      <c r="E37" s="8">
        <f>'Estado de Situacion Financiera'!I39</f>
        <v>36494044029.010002</v>
      </c>
    </row>
    <row r="38" spans="1:5" x14ac:dyDescent="0.25">
      <c r="A38" s="772"/>
      <c r="B38" s="773"/>
      <c r="C38" s="774" t="s">
        <v>36</v>
      </c>
      <c r="D38" s="774"/>
      <c r="E38" s="8">
        <f>'Estado de Situacion Financiera'!I40</f>
        <v>0</v>
      </c>
    </row>
    <row r="39" spans="1:5" x14ac:dyDescent="0.25">
      <c r="A39" s="772"/>
      <c r="B39" s="773"/>
      <c r="C39" s="774" t="s">
        <v>38</v>
      </c>
      <c r="D39" s="774"/>
      <c r="E39" s="8">
        <f>'Estado de Situacion Financiera'!I41</f>
        <v>0</v>
      </c>
    </row>
    <row r="40" spans="1:5" x14ac:dyDescent="0.25">
      <c r="A40" s="772"/>
      <c r="B40" s="773"/>
      <c r="C40" s="774" t="s">
        <v>40</v>
      </c>
      <c r="D40" s="774"/>
      <c r="E40" s="8">
        <f>'Estado de Situacion Financiera'!I42</f>
        <v>0</v>
      </c>
    </row>
    <row r="41" spans="1:5" ht="15.75" thickBot="1" x14ac:dyDescent="0.3">
      <c r="A41" s="772"/>
      <c r="B41" s="2"/>
      <c r="C41" s="775" t="s">
        <v>43</v>
      </c>
      <c r="D41" s="775"/>
      <c r="E41" s="9">
        <f>'Estado de Situacion Financiera'!I44</f>
        <v>36494044029.010002</v>
      </c>
    </row>
    <row r="42" spans="1:5" ht="15.75" thickBot="1" x14ac:dyDescent="0.3">
      <c r="A42" s="772"/>
      <c r="B42" s="2"/>
      <c r="C42" s="775" t="s">
        <v>45</v>
      </c>
      <c r="D42" s="775"/>
      <c r="E42" s="9">
        <f>'Estado de Situacion Financiera'!I46</f>
        <v>39953658308.660004</v>
      </c>
    </row>
    <row r="43" spans="1:5" x14ac:dyDescent="0.25">
      <c r="A43" s="3"/>
      <c r="B43" s="773" t="s">
        <v>47</v>
      </c>
      <c r="C43" s="777" t="s">
        <v>49</v>
      </c>
      <c r="D43" s="777"/>
      <c r="E43" s="10">
        <f>'Estado de Situacion Financiera'!I50</f>
        <v>19318026978.370003</v>
      </c>
    </row>
    <row r="44" spans="1:5" x14ac:dyDescent="0.25">
      <c r="A44" s="3"/>
      <c r="B44" s="773"/>
      <c r="C44" s="774" t="s">
        <v>50</v>
      </c>
      <c r="D44" s="774"/>
      <c r="E44" s="8">
        <f>'Estado de Situacion Financiera'!I52</f>
        <v>19318026978.370003</v>
      </c>
    </row>
    <row r="45" spans="1:5" x14ac:dyDescent="0.25">
      <c r="A45" s="3"/>
      <c r="B45" s="773"/>
      <c r="C45" s="774" t="s">
        <v>51</v>
      </c>
      <c r="D45" s="774"/>
      <c r="E45" s="8">
        <f>'Estado de Situacion Financiera'!I53</f>
        <v>0</v>
      </c>
    </row>
    <row r="46" spans="1:5" x14ac:dyDescent="0.25">
      <c r="A46" s="3"/>
      <c r="B46" s="773"/>
      <c r="C46" s="774" t="s">
        <v>52</v>
      </c>
      <c r="D46" s="774"/>
      <c r="E46" s="8">
        <f>'Estado de Situacion Financiera'!I54</f>
        <v>0</v>
      </c>
    </row>
    <row r="47" spans="1:5" x14ac:dyDescent="0.25">
      <c r="A47" s="3"/>
      <c r="B47" s="773"/>
      <c r="C47" s="777" t="s">
        <v>53</v>
      </c>
      <c r="D47" s="777"/>
      <c r="E47" s="10">
        <f>'Estado de Situacion Financiera'!I56</f>
        <v>-16844848028.779991</v>
      </c>
    </row>
    <row r="48" spans="1:5" x14ac:dyDescent="0.25">
      <c r="A48" s="3"/>
      <c r="B48" s="773"/>
      <c r="C48" s="774" t="s">
        <v>54</v>
      </c>
      <c r="D48" s="774"/>
      <c r="E48" s="8">
        <f>'Estado de Situacion Financiera'!I58</f>
        <v>2054978217.0799999</v>
      </c>
    </row>
    <row r="49" spans="1:5" x14ac:dyDescent="0.25">
      <c r="A49" s="3"/>
      <c r="B49" s="773"/>
      <c r="C49" s="774" t="s">
        <v>55</v>
      </c>
      <c r="D49" s="774"/>
      <c r="E49" s="8">
        <f>'Estado de Situacion Financiera'!I59</f>
        <v>-36624897411.519997</v>
      </c>
    </row>
    <row r="50" spans="1:5" x14ac:dyDescent="0.25">
      <c r="A50" s="3"/>
      <c r="B50" s="773"/>
      <c r="C50" s="774" t="s">
        <v>56</v>
      </c>
      <c r="D50" s="774"/>
      <c r="E50" s="8">
        <f>'Estado de Situacion Financiera'!I60</f>
        <v>17831655388.000004</v>
      </c>
    </row>
    <row r="51" spans="1:5" x14ac:dyDescent="0.25">
      <c r="A51" s="3"/>
      <c r="B51" s="773"/>
      <c r="C51" s="774" t="s">
        <v>57</v>
      </c>
      <c r="D51" s="774"/>
      <c r="E51" s="8">
        <f>'Estado de Situacion Financiera'!I61</f>
        <v>0</v>
      </c>
    </row>
    <row r="52" spans="1:5" x14ac:dyDescent="0.25">
      <c r="A52" s="3"/>
      <c r="B52" s="773"/>
      <c r="C52" s="774" t="s">
        <v>58</v>
      </c>
      <c r="D52" s="774"/>
      <c r="E52" s="8">
        <f>'Estado de Situacion Financiera'!I62</f>
        <v>-106584222.34</v>
      </c>
    </row>
    <row r="53" spans="1:5" x14ac:dyDescent="0.25">
      <c r="A53" s="3"/>
      <c r="B53" s="773"/>
      <c r="C53" s="777" t="s">
        <v>59</v>
      </c>
      <c r="D53" s="777"/>
      <c r="E53" s="10">
        <f>'Estado de Situacion Financiera'!I64</f>
        <v>0</v>
      </c>
    </row>
    <row r="54" spans="1:5" x14ac:dyDescent="0.25">
      <c r="A54" s="3"/>
      <c r="B54" s="773"/>
      <c r="C54" s="774" t="s">
        <v>60</v>
      </c>
      <c r="D54" s="774"/>
      <c r="E54" s="8">
        <f>'Estado de Situacion Financiera'!I66</f>
        <v>0</v>
      </c>
    </row>
    <row r="55" spans="1:5" x14ac:dyDescent="0.25">
      <c r="A55" s="3"/>
      <c r="B55" s="773"/>
      <c r="C55" s="774" t="s">
        <v>61</v>
      </c>
      <c r="D55" s="774"/>
      <c r="E55" s="8">
        <f>'Estado de Situacion Financiera'!I67</f>
        <v>0</v>
      </c>
    </row>
    <row r="56" spans="1:5" ht="15.75" thickBot="1" x14ac:dyDescent="0.3">
      <c r="A56" s="3"/>
      <c r="B56" s="773"/>
      <c r="C56" s="775" t="s">
        <v>62</v>
      </c>
      <c r="D56" s="775"/>
      <c r="E56" s="9">
        <f>'Estado de Situacion Financiera'!I69</f>
        <v>2473178949.5900116</v>
      </c>
    </row>
    <row r="57" spans="1:5" ht="15.75" thickBot="1" x14ac:dyDescent="0.3">
      <c r="A57" s="3"/>
      <c r="B57" s="2"/>
      <c r="C57" s="775" t="s">
        <v>63</v>
      </c>
      <c r="D57" s="775"/>
      <c r="E57" s="9">
        <f>'Estado de Situacion Financiera'!I71</f>
        <v>42426837258.250015</v>
      </c>
    </row>
    <row r="58" spans="1:5" x14ac:dyDescent="0.25">
      <c r="A58" s="3"/>
      <c r="B58" s="2"/>
      <c r="C58" s="776" t="s">
        <v>5</v>
      </c>
      <c r="D58" s="776"/>
      <c r="E58" s="1">
        <v>2012</v>
      </c>
    </row>
    <row r="59" spans="1:5" x14ac:dyDescent="0.25">
      <c r="A59" s="772" t="s">
        <v>69</v>
      </c>
      <c r="B59" s="773" t="s">
        <v>8</v>
      </c>
      <c r="C59" s="774" t="s">
        <v>10</v>
      </c>
      <c r="D59" s="774"/>
      <c r="E59" s="8">
        <f>'Estado de Situacion Financiera'!E24</f>
        <v>1692666437.73</v>
      </c>
    </row>
    <row r="60" spans="1:5" x14ac:dyDescent="0.25">
      <c r="A60" s="772"/>
      <c r="B60" s="773"/>
      <c r="C60" s="774" t="s">
        <v>12</v>
      </c>
      <c r="D60" s="774"/>
      <c r="E60" s="8">
        <f>'Estado de Situacion Financiera'!E25</f>
        <v>877621814</v>
      </c>
    </row>
    <row r="61" spans="1:5" x14ac:dyDescent="0.25">
      <c r="A61" s="772"/>
      <c r="B61" s="773"/>
      <c r="C61" s="774" t="s">
        <v>14</v>
      </c>
      <c r="D61" s="774"/>
      <c r="E61" s="8">
        <f>'Estado de Situacion Financiera'!E26</f>
        <v>9102469.75</v>
      </c>
    </row>
    <row r="62" spans="1:5" x14ac:dyDescent="0.25">
      <c r="A62" s="772"/>
      <c r="B62" s="773"/>
      <c r="C62" s="774" t="s">
        <v>16</v>
      </c>
      <c r="D62" s="774"/>
      <c r="E62" s="8">
        <f>'Estado de Situacion Financiera'!E27</f>
        <v>0</v>
      </c>
    </row>
    <row r="63" spans="1:5" x14ac:dyDescent="0.25">
      <c r="A63" s="772"/>
      <c r="B63" s="773"/>
      <c r="C63" s="774" t="s">
        <v>18</v>
      </c>
      <c r="D63" s="774"/>
      <c r="E63" s="8">
        <f>'Estado de Situacion Financiera'!E28</f>
        <v>24695107.960000001</v>
      </c>
    </row>
    <row r="64" spans="1:5" x14ac:dyDescent="0.25">
      <c r="A64" s="772"/>
      <c r="B64" s="773"/>
      <c r="C64" s="774" t="s">
        <v>20</v>
      </c>
      <c r="D64" s="774"/>
      <c r="E64" s="8">
        <f>'Estado de Situacion Financiera'!E29</f>
        <v>0</v>
      </c>
    </row>
    <row r="65" spans="1:5" x14ac:dyDescent="0.25">
      <c r="A65" s="772"/>
      <c r="B65" s="773"/>
      <c r="C65" s="774" t="s">
        <v>22</v>
      </c>
      <c r="D65" s="774"/>
      <c r="E65" s="8">
        <f>'Estado de Situacion Financiera'!E30</f>
        <v>0</v>
      </c>
    </row>
    <row r="66" spans="1:5" ht="15.75" thickBot="1" x14ac:dyDescent="0.3">
      <c r="A66" s="772"/>
      <c r="B66" s="4"/>
      <c r="C66" s="775" t="s">
        <v>25</v>
      </c>
      <c r="D66" s="775"/>
      <c r="E66" s="9">
        <f>'Estado de Situacion Financiera'!E32</f>
        <v>2604085829.4400001</v>
      </c>
    </row>
    <row r="67" spans="1:5" x14ac:dyDescent="0.25">
      <c r="A67" s="772"/>
      <c r="B67" s="773" t="s">
        <v>27</v>
      </c>
      <c r="C67" s="774" t="s">
        <v>29</v>
      </c>
      <c r="D67" s="774"/>
      <c r="E67" s="8">
        <f>'Estado de Situacion Financiera'!E37</f>
        <v>501780867.79000002</v>
      </c>
    </row>
    <row r="68" spans="1:5" x14ac:dyDescent="0.25">
      <c r="A68" s="772"/>
      <c r="B68" s="773"/>
      <c r="C68" s="774" t="s">
        <v>31</v>
      </c>
      <c r="D68" s="774"/>
      <c r="E68" s="8">
        <f>'Estado de Situacion Financiera'!E38</f>
        <v>0</v>
      </c>
    </row>
    <row r="69" spans="1:5" x14ac:dyDescent="0.25">
      <c r="A69" s="772"/>
      <c r="B69" s="773"/>
      <c r="C69" s="774" t="s">
        <v>33</v>
      </c>
      <c r="D69" s="774"/>
      <c r="E69" s="8">
        <f>'Estado de Situacion Financiera'!E39</f>
        <v>17855756003.700001</v>
      </c>
    </row>
    <row r="70" spans="1:5" x14ac:dyDescent="0.25">
      <c r="A70" s="772"/>
      <c r="B70" s="773"/>
      <c r="C70" s="774" t="s">
        <v>35</v>
      </c>
      <c r="D70" s="774"/>
      <c r="E70" s="8">
        <f>'Estado de Situacion Financiera'!E40</f>
        <v>2758724707.4000001</v>
      </c>
    </row>
    <row r="71" spans="1:5" x14ac:dyDescent="0.25">
      <c r="A71" s="772"/>
      <c r="B71" s="773"/>
      <c r="C71" s="774" t="s">
        <v>37</v>
      </c>
      <c r="D71" s="774"/>
      <c r="E71" s="8">
        <f>'Estado de Situacion Financiera'!E41</f>
        <v>35933969.060000002</v>
      </c>
    </row>
    <row r="72" spans="1:5" x14ac:dyDescent="0.25">
      <c r="A72" s="772"/>
      <c r="B72" s="773"/>
      <c r="C72" s="774" t="s">
        <v>39</v>
      </c>
      <c r="D72" s="774"/>
      <c r="E72" s="8">
        <f>'Estado de Situacion Financiera'!E42</f>
        <v>0</v>
      </c>
    </row>
    <row r="73" spans="1:5" x14ac:dyDescent="0.25">
      <c r="A73" s="772"/>
      <c r="B73" s="773"/>
      <c r="C73" s="774" t="s">
        <v>41</v>
      </c>
      <c r="D73" s="774"/>
      <c r="E73" s="8">
        <f>'Estado de Situacion Financiera'!E43</f>
        <v>0</v>
      </c>
    </row>
    <row r="74" spans="1:5" x14ac:dyDescent="0.25">
      <c r="A74" s="772"/>
      <c r="B74" s="773"/>
      <c r="C74" s="774" t="s">
        <v>42</v>
      </c>
      <c r="D74" s="774"/>
      <c r="E74" s="8">
        <f>'Estado de Situacion Financiera'!E44</f>
        <v>0</v>
      </c>
    </row>
    <row r="75" spans="1:5" x14ac:dyDescent="0.25">
      <c r="A75" s="772"/>
      <c r="B75" s="773"/>
      <c r="C75" s="774" t="s">
        <v>44</v>
      </c>
      <c r="D75" s="774"/>
      <c r="E75" s="8">
        <f>'Estado de Situacion Financiera'!E45</f>
        <v>0</v>
      </c>
    </row>
    <row r="76" spans="1:5" ht="15.75" thickBot="1" x14ac:dyDescent="0.3">
      <c r="A76" s="772"/>
      <c r="B76" s="4"/>
      <c r="C76" s="775" t="s">
        <v>46</v>
      </c>
      <c r="D76" s="775"/>
      <c r="E76" s="9">
        <f>'Estado de Situacion Financiera'!E47</f>
        <v>21152195547.950005</v>
      </c>
    </row>
    <row r="77" spans="1:5" ht="15.75" thickBot="1" x14ac:dyDescent="0.3">
      <c r="A77" s="772"/>
      <c r="B77" s="2"/>
      <c r="C77" s="775" t="s">
        <v>48</v>
      </c>
      <c r="D77" s="775"/>
      <c r="E77" s="9">
        <f>'Estado de Situacion Financiera'!E49</f>
        <v>23756281377.390003</v>
      </c>
    </row>
    <row r="78" spans="1:5" x14ac:dyDescent="0.25">
      <c r="A78" s="772" t="s">
        <v>70</v>
      </c>
      <c r="B78" s="773" t="s">
        <v>9</v>
      </c>
      <c r="C78" s="774" t="s">
        <v>11</v>
      </c>
      <c r="D78" s="774"/>
      <c r="E78" s="8">
        <f>'Estado de Situacion Financiera'!J24</f>
        <v>3161126527.0500002</v>
      </c>
    </row>
    <row r="79" spans="1:5" x14ac:dyDescent="0.25">
      <c r="A79" s="772"/>
      <c r="B79" s="773"/>
      <c r="C79" s="774" t="s">
        <v>13</v>
      </c>
      <c r="D79" s="774"/>
      <c r="E79" s="8">
        <f>'Estado de Situacion Financiera'!J25</f>
        <v>0</v>
      </c>
    </row>
    <row r="80" spans="1:5" x14ac:dyDescent="0.25">
      <c r="A80" s="772"/>
      <c r="B80" s="773"/>
      <c r="C80" s="774" t="s">
        <v>15</v>
      </c>
      <c r="D80" s="774"/>
      <c r="E80" s="8">
        <f>'Estado de Situacion Financiera'!J26</f>
        <v>0</v>
      </c>
    </row>
    <row r="81" spans="1:5" x14ac:dyDescent="0.25">
      <c r="A81" s="772"/>
      <c r="B81" s="773"/>
      <c r="C81" s="774" t="s">
        <v>17</v>
      </c>
      <c r="D81" s="774"/>
      <c r="E81" s="8">
        <f>'Estado de Situacion Financiera'!J27</f>
        <v>0</v>
      </c>
    </row>
    <row r="82" spans="1:5" x14ac:dyDescent="0.25">
      <c r="A82" s="772"/>
      <c r="B82" s="773"/>
      <c r="C82" s="774" t="s">
        <v>19</v>
      </c>
      <c r="D82" s="774"/>
      <c r="E82" s="8">
        <f>'Estado de Situacion Financiera'!J28</f>
        <v>0</v>
      </c>
    </row>
    <row r="83" spans="1:5" x14ac:dyDescent="0.25">
      <c r="A83" s="772"/>
      <c r="B83" s="773"/>
      <c r="C83" s="774" t="s">
        <v>21</v>
      </c>
      <c r="D83" s="774"/>
      <c r="E83" s="8">
        <f>'Estado de Situacion Financiera'!J29</f>
        <v>22184119.579999998</v>
      </c>
    </row>
    <row r="84" spans="1:5" x14ac:dyDescent="0.25">
      <c r="A84" s="772"/>
      <c r="B84" s="773"/>
      <c r="C84" s="774" t="s">
        <v>23</v>
      </c>
      <c r="D84" s="774"/>
      <c r="E84" s="8">
        <f>'Estado de Situacion Financiera'!J30</f>
        <v>0</v>
      </c>
    </row>
    <row r="85" spans="1:5" x14ac:dyDescent="0.25">
      <c r="A85" s="772"/>
      <c r="B85" s="773"/>
      <c r="C85" s="774" t="s">
        <v>24</v>
      </c>
      <c r="D85" s="774"/>
      <c r="E85" s="8">
        <f>'Estado de Situacion Financiera'!J31</f>
        <v>0</v>
      </c>
    </row>
    <row r="86" spans="1:5" ht="15.75" thickBot="1" x14ac:dyDescent="0.3">
      <c r="A86" s="772"/>
      <c r="B86" s="4"/>
      <c r="C86" s="775" t="s">
        <v>26</v>
      </c>
      <c r="D86" s="775"/>
      <c r="E86" s="9">
        <f>'Estado de Situacion Financiera'!J33</f>
        <v>3183310646.6300001</v>
      </c>
    </row>
    <row r="87" spans="1:5" x14ac:dyDescent="0.25">
      <c r="A87" s="772"/>
      <c r="B87" s="773" t="s">
        <v>28</v>
      </c>
      <c r="C87" s="774" t="s">
        <v>30</v>
      </c>
      <c r="D87" s="774"/>
      <c r="E87" s="8">
        <f>'Estado de Situacion Financiera'!J37</f>
        <v>0</v>
      </c>
    </row>
    <row r="88" spans="1:5" x14ac:dyDescent="0.25">
      <c r="A88" s="772"/>
      <c r="B88" s="773"/>
      <c r="C88" s="774" t="s">
        <v>32</v>
      </c>
      <c r="D88" s="774"/>
      <c r="E88" s="8">
        <f>'Estado de Situacion Financiera'!J38</f>
        <v>0</v>
      </c>
    </row>
    <row r="89" spans="1:5" x14ac:dyDescent="0.25">
      <c r="A89" s="772"/>
      <c r="B89" s="773"/>
      <c r="C89" s="774" t="s">
        <v>34</v>
      </c>
      <c r="D89" s="774"/>
      <c r="E89" s="8">
        <f>'Estado de Situacion Financiera'!J39</f>
        <v>37513829440.599998</v>
      </c>
    </row>
    <row r="90" spans="1:5" x14ac:dyDescent="0.25">
      <c r="A90" s="772"/>
      <c r="B90" s="773"/>
      <c r="C90" s="774" t="s">
        <v>36</v>
      </c>
      <c r="D90" s="774"/>
      <c r="E90" s="8">
        <f>'Estado de Situacion Financiera'!J40</f>
        <v>0</v>
      </c>
    </row>
    <row r="91" spans="1:5" x14ac:dyDescent="0.25">
      <c r="A91" s="772"/>
      <c r="B91" s="773"/>
      <c r="C91" s="774" t="s">
        <v>38</v>
      </c>
      <c r="D91" s="774"/>
      <c r="E91" s="8">
        <f>'Estado de Situacion Financiera'!J41</f>
        <v>0</v>
      </c>
    </row>
    <row r="92" spans="1:5" x14ac:dyDescent="0.25">
      <c r="A92" s="772"/>
      <c r="B92" s="773"/>
      <c r="C92" s="774" t="s">
        <v>40</v>
      </c>
      <c r="D92" s="774"/>
      <c r="E92" s="8">
        <f>'Estado de Situacion Financiera'!J42</f>
        <v>0</v>
      </c>
    </row>
    <row r="93" spans="1:5" ht="15.75" thickBot="1" x14ac:dyDescent="0.3">
      <c r="A93" s="772"/>
      <c r="B93" s="2"/>
      <c r="C93" s="775" t="s">
        <v>43</v>
      </c>
      <c r="D93" s="775"/>
      <c r="E93" s="9">
        <f>'Estado de Situacion Financiera'!J44</f>
        <v>37513829440.599998</v>
      </c>
    </row>
    <row r="94" spans="1:5" ht="15.75" thickBot="1" x14ac:dyDescent="0.3">
      <c r="A94" s="772"/>
      <c r="B94" s="2"/>
      <c r="C94" s="775" t="s">
        <v>45</v>
      </c>
      <c r="D94" s="775"/>
      <c r="E94" s="9">
        <f>'Estado de Situacion Financiera'!J46</f>
        <v>40697140087.229996</v>
      </c>
    </row>
    <row r="95" spans="1:5" x14ac:dyDescent="0.25">
      <c r="A95" s="3"/>
      <c r="B95" s="773" t="s">
        <v>47</v>
      </c>
      <c r="C95" s="777" t="s">
        <v>49</v>
      </c>
      <c r="D95" s="777"/>
      <c r="E95" s="10">
        <f>'Estado de Situacion Financiera'!J50</f>
        <v>19318026978.369999</v>
      </c>
    </row>
    <row r="96" spans="1:5" x14ac:dyDescent="0.25">
      <c r="A96" s="3"/>
      <c r="B96" s="773"/>
      <c r="C96" s="774" t="s">
        <v>50</v>
      </c>
      <c r="D96" s="774"/>
      <c r="E96" s="8">
        <f>'Estado de Situacion Financiera'!J52</f>
        <v>19318026978.369999</v>
      </c>
    </row>
    <row r="97" spans="1:5" x14ac:dyDescent="0.25">
      <c r="A97" s="3"/>
      <c r="B97" s="773"/>
      <c r="C97" s="774" t="s">
        <v>51</v>
      </c>
      <c r="D97" s="774"/>
      <c r="E97" s="8">
        <f>'Estado de Situacion Financiera'!J53</f>
        <v>0</v>
      </c>
    </row>
    <row r="98" spans="1:5" x14ac:dyDescent="0.25">
      <c r="A98" s="3"/>
      <c r="B98" s="773"/>
      <c r="C98" s="774" t="s">
        <v>52</v>
      </c>
      <c r="D98" s="774"/>
      <c r="E98" s="8">
        <f>'Estado de Situacion Financiera'!J54</f>
        <v>0</v>
      </c>
    </row>
    <row r="99" spans="1:5" x14ac:dyDescent="0.25">
      <c r="A99" s="3"/>
      <c r="B99" s="773"/>
      <c r="C99" s="777" t="s">
        <v>53</v>
      </c>
      <c r="D99" s="777"/>
      <c r="E99" s="10">
        <f>'Estado de Situacion Financiera'!J56</f>
        <v>-36258885688.210007</v>
      </c>
    </row>
    <row r="100" spans="1:5" x14ac:dyDescent="0.25">
      <c r="A100" s="3"/>
      <c r="B100" s="773"/>
      <c r="C100" s="774" t="s">
        <v>54</v>
      </c>
      <c r="D100" s="774"/>
      <c r="E100" s="8">
        <f>'Estado de Situacion Financiera'!J58</f>
        <v>838009765.71000004</v>
      </c>
    </row>
    <row r="101" spans="1:5" x14ac:dyDescent="0.25">
      <c r="A101" s="3"/>
      <c r="B101" s="773"/>
      <c r="C101" s="774" t="s">
        <v>55</v>
      </c>
      <c r="D101" s="774"/>
      <c r="E101" s="8">
        <f>'Estado de Situacion Financiera'!J59</f>
        <v>-37462907177.230003</v>
      </c>
    </row>
    <row r="102" spans="1:5" x14ac:dyDescent="0.25">
      <c r="A102" s="3"/>
      <c r="B102" s="773"/>
      <c r="C102" s="774" t="s">
        <v>56</v>
      </c>
      <c r="D102" s="774"/>
      <c r="E102" s="8">
        <f>'Estado de Situacion Financiera'!J60</f>
        <v>0</v>
      </c>
    </row>
    <row r="103" spans="1:5" x14ac:dyDescent="0.25">
      <c r="A103" s="3"/>
      <c r="B103" s="773"/>
      <c r="C103" s="774" t="s">
        <v>57</v>
      </c>
      <c r="D103" s="774"/>
      <c r="E103" s="8">
        <f>'Estado de Situacion Financiera'!J61</f>
        <v>0</v>
      </c>
    </row>
    <row r="104" spans="1:5" x14ac:dyDescent="0.25">
      <c r="A104" s="3"/>
      <c r="B104" s="773"/>
      <c r="C104" s="774" t="s">
        <v>58</v>
      </c>
      <c r="D104" s="774"/>
      <c r="E104" s="8">
        <f>'Estado de Situacion Financiera'!J62</f>
        <v>366011723.31</v>
      </c>
    </row>
    <row r="105" spans="1:5" x14ac:dyDescent="0.25">
      <c r="A105" s="3"/>
      <c r="B105" s="773"/>
      <c r="C105" s="777" t="s">
        <v>59</v>
      </c>
      <c r="D105" s="777"/>
      <c r="E105" s="10">
        <f>'Estado de Situacion Financiera'!J64</f>
        <v>0</v>
      </c>
    </row>
    <row r="106" spans="1:5" x14ac:dyDescent="0.25">
      <c r="A106" s="3"/>
      <c r="B106" s="773"/>
      <c r="C106" s="774" t="s">
        <v>60</v>
      </c>
      <c r="D106" s="774"/>
      <c r="E106" s="8">
        <f>'Estado de Situacion Financiera'!J66</f>
        <v>0</v>
      </c>
    </row>
    <row r="107" spans="1:5" x14ac:dyDescent="0.25">
      <c r="A107" s="3"/>
      <c r="B107" s="773"/>
      <c r="C107" s="774" t="s">
        <v>61</v>
      </c>
      <c r="D107" s="774"/>
      <c r="E107" s="8">
        <f>'Estado de Situacion Financiera'!J67</f>
        <v>0</v>
      </c>
    </row>
    <row r="108" spans="1:5" ht="15.75" thickBot="1" x14ac:dyDescent="0.3">
      <c r="A108" s="3"/>
      <c r="B108" s="773"/>
      <c r="C108" s="775" t="s">
        <v>62</v>
      </c>
      <c r="D108" s="775"/>
      <c r="E108" s="9">
        <f>'Estado de Situacion Financiera'!J69</f>
        <v>-16940858709.840008</v>
      </c>
    </row>
    <row r="109" spans="1:5" ht="15.75" thickBot="1" x14ac:dyDescent="0.3">
      <c r="A109" s="3"/>
      <c r="B109" s="2"/>
      <c r="C109" s="775" t="s">
        <v>63</v>
      </c>
      <c r="D109" s="775"/>
      <c r="E109" s="9">
        <f>'Estado de Situacion Financiera'!J71</f>
        <v>23756281377.389988</v>
      </c>
    </row>
    <row r="110" spans="1:5" x14ac:dyDescent="0.25">
      <c r="A110" s="3"/>
      <c r="B110" s="2"/>
      <c r="C110" s="782" t="s">
        <v>75</v>
      </c>
      <c r="D110" s="5" t="s">
        <v>64</v>
      </c>
      <c r="E110" s="10" t="str">
        <f>'Estado de Situacion Financiera'!C79</f>
        <v>ING.  ISMAEL E. RAMOS FLORES</v>
      </c>
    </row>
    <row r="111" spans="1:5" x14ac:dyDescent="0.25">
      <c r="A111" s="3"/>
      <c r="B111" s="2"/>
      <c r="C111" s="783"/>
      <c r="D111" s="5" t="s">
        <v>65</v>
      </c>
      <c r="E111" s="10" t="str">
        <f>'Estado de Situacion Financiera'!C80</f>
        <v>Secretario de Finanzas</v>
      </c>
    </row>
    <row r="112" spans="1:5" x14ac:dyDescent="0.25">
      <c r="A112" s="3"/>
      <c r="B112" s="2"/>
      <c r="C112" s="783" t="s">
        <v>74</v>
      </c>
      <c r="D112" s="5" t="s">
        <v>64</v>
      </c>
      <c r="E112" s="10" t="str">
        <f>'Estado de Situacion Financiera'!G79</f>
        <v>LIC. EDGAR JULIAN MONTOYA DE LA ROSA</v>
      </c>
    </row>
    <row r="113" spans="1:5" x14ac:dyDescent="0.25">
      <c r="A113" s="3"/>
      <c r="B113" s="2"/>
      <c r="C113" s="783"/>
      <c r="D113" s="5" t="s">
        <v>65</v>
      </c>
      <c r="E113" s="10" t="str">
        <f>'Estado de Situacion Financiera'!G80</f>
        <v>Subsecretario de Egresos y Administración</v>
      </c>
    </row>
    <row r="114" spans="1:5" x14ac:dyDescent="0.25">
      <c r="A114" s="781" t="s">
        <v>2</v>
      </c>
      <c r="B114" s="781"/>
      <c r="C114" s="781"/>
      <c r="D114" s="781"/>
      <c r="E114" s="13" t="e">
        <f>'Edo de Cambios en la Sit Fin'!#REF!</f>
        <v>#REF!</v>
      </c>
    </row>
    <row r="115" spans="1:5" ht="23.25" x14ac:dyDescent="0.25">
      <c r="A115" s="781" t="s">
        <v>4</v>
      </c>
      <c r="B115" s="781"/>
      <c r="C115" s="781"/>
      <c r="D115" s="781"/>
      <c r="E115" s="13" t="str">
        <f>'Edo de Cambios en la Sit Fin'!E13</f>
        <v xml:space="preserve">SECRETARIA DE FINANZAS </v>
      </c>
    </row>
    <row r="116" spans="1:5" x14ac:dyDescent="0.25">
      <c r="A116" s="781" t="s">
        <v>3</v>
      </c>
      <c r="B116" s="781"/>
      <c r="C116" s="781"/>
      <c r="D116" s="781"/>
      <c r="E116" s="14"/>
    </row>
    <row r="117" spans="1:5" x14ac:dyDescent="0.25">
      <c r="A117" s="781" t="s">
        <v>73</v>
      </c>
      <c r="B117" s="781"/>
      <c r="C117" s="781"/>
      <c r="D117" s="781"/>
      <c r="E117" t="s">
        <v>72</v>
      </c>
    </row>
    <row r="118" spans="1:5" x14ac:dyDescent="0.25">
      <c r="B118" s="778" t="s">
        <v>67</v>
      </c>
      <c r="C118" s="777" t="s">
        <v>6</v>
      </c>
      <c r="D118" s="777"/>
      <c r="E118" s="11">
        <f>'Edo de Cambios en la Sit Fin'!F20</f>
        <v>0</v>
      </c>
    </row>
    <row r="119" spans="1:5" x14ac:dyDescent="0.25">
      <c r="B119" s="778"/>
      <c r="C119" s="777" t="s">
        <v>8</v>
      </c>
      <c r="D119" s="777"/>
      <c r="E119" s="11">
        <f>'Edo de Cambios en la Sit Fin'!F22</f>
        <v>28576878.18</v>
      </c>
    </row>
    <row r="120" spans="1:5" x14ac:dyDescent="0.25">
      <c r="B120" s="778"/>
      <c r="C120" s="774" t="s">
        <v>10</v>
      </c>
      <c r="D120" s="774"/>
      <c r="E120" s="12">
        <f>'Edo de Cambios en la Sit Fin'!F24</f>
        <v>0</v>
      </c>
    </row>
    <row r="121" spans="1:5" x14ac:dyDescent="0.25">
      <c r="B121" s="778"/>
      <c r="C121" s="774" t="s">
        <v>12</v>
      </c>
      <c r="D121" s="774"/>
      <c r="E121" s="12">
        <f>'Edo de Cambios en la Sit Fin'!F25</f>
        <v>0</v>
      </c>
    </row>
    <row r="122" spans="1:5" x14ac:dyDescent="0.25">
      <c r="B122" s="778"/>
      <c r="C122" s="774" t="s">
        <v>14</v>
      </c>
      <c r="D122" s="774"/>
      <c r="E122" s="12">
        <f>'Edo de Cambios en la Sit Fin'!F26</f>
        <v>4984442.4399999995</v>
      </c>
    </row>
    <row r="123" spans="1:5" x14ac:dyDescent="0.25">
      <c r="B123" s="778"/>
      <c r="C123" s="774" t="s">
        <v>16</v>
      </c>
      <c r="D123" s="774"/>
      <c r="E123" s="12">
        <f>'Edo de Cambios en la Sit Fin'!F27</f>
        <v>0</v>
      </c>
    </row>
    <row r="124" spans="1:5" x14ac:dyDescent="0.25">
      <c r="B124" s="778"/>
      <c r="C124" s="774" t="s">
        <v>18</v>
      </c>
      <c r="D124" s="774"/>
      <c r="E124" s="12">
        <f>'Edo de Cambios en la Sit Fin'!F28</f>
        <v>23592435.740000002</v>
      </c>
    </row>
    <row r="125" spans="1:5" x14ac:dyDescent="0.25">
      <c r="B125" s="778"/>
      <c r="C125" s="774" t="s">
        <v>20</v>
      </c>
      <c r="D125" s="774"/>
      <c r="E125" s="12">
        <f>'Edo de Cambios en la Sit Fin'!F29</f>
        <v>0</v>
      </c>
    </row>
    <row r="126" spans="1:5" x14ac:dyDescent="0.25">
      <c r="B126" s="778"/>
      <c r="C126" s="774" t="s">
        <v>22</v>
      </c>
      <c r="D126" s="774"/>
      <c r="E126" s="12">
        <f>'Edo de Cambios en la Sit Fin'!F30</f>
        <v>0</v>
      </c>
    </row>
    <row r="127" spans="1:5" x14ac:dyDescent="0.25">
      <c r="B127" s="778"/>
      <c r="C127" s="777" t="s">
        <v>27</v>
      </c>
      <c r="D127" s="777"/>
      <c r="E127" s="11">
        <f>'Edo de Cambios en la Sit Fin'!F32</f>
        <v>0</v>
      </c>
    </row>
    <row r="128" spans="1:5" x14ac:dyDescent="0.25">
      <c r="B128" s="778"/>
      <c r="C128" s="774" t="s">
        <v>29</v>
      </c>
      <c r="D128" s="774"/>
      <c r="E128" s="12">
        <f>'Edo de Cambios en la Sit Fin'!F34</f>
        <v>0</v>
      </c>
    </row>
    <row r="129" spans="2:5" x14ac:dyDescent="0.25">
      <c r="B129" s="778"/>
      <c r="C129" s="774" t="s">
        <v>31</v>
      </c>
      <c r="D129" s="774"/>
      <c r="E129" s="12">
        <f>'Edo de Cambios en la Sit Fin'!F35</f>
        <v>0</v>
      </c>
    </row>
    <row r="130" spans="2:5" x14ac:dyDescent="0.25">
      <c r="B130" s="778"/>
      <c r="C130" s="774" t="s">
        <v>33</v>
      </c>
      <c r="D130" s="774"/>
      <c r="E130" s="12">
        <f>'Edo de Cambios en la Sit Fin'!F36</f>
        <v>0</v>
      </c>
    </row>
    <row r="131" spans="2:5" x14ac:dyDescent="0.25">
      <c r="B131" s="778"/>
      <c r="C131" s="774" t="s">
        <v>35</v>
      </c>
      <c r="D131" s="774"/>
      <c r="E131" s="12">
        <f>'Edo de Cambios en la Sit Fin'!F37</f>
        <v>0</v>
      </c>
    </row>
    <row r="132" spans="2:5" x14ac:dyDescent="0.25">
      <c r="B132" s="778"/>
      <c r="C132" s="774" t="s">
        <v>37</v>
      </c>
      <c r="D132" s="774"/>
      <c r="E132" s="12">
        <f>'Edo de Cambios en la Sit Fin'!F38</f>
        <v>0</v>
      </c>
    </row>
    <row r="133" spans="2:5" x14ac:dyDescent="0.25">
      <c r="B133" s="778"/>
      <c r="C133" s="774" t="s">
        <v>39</v>
      </c>
      <c r="D133" s="774"/>
      <c r="E133" s="12">
        <f>'Edo de Cambios en la Sit Fin'!F39</f>
        <v>0</v>
      </c>
    </row>
    <row r="134" spans="2:5" x14ac:dyDescent="0.25">
      <c r="B134" s="778"/>
      <c r="C134" s="774" t="s">
        <v>41</v>
      </c>
      <c r="D134" s="774"/>
      <c r="E134" s="12">
        <f>'Edo de Cambios en la Sit Fin'!F40</f>
        <v>0</v>
      </c>
    </row>
    <row r="135" spans="2:5" x14ac:dyDescent="0.25">
      <c r="B135" s="778"/>
      <c r="C135" s="774" t="s">
        <v>42</v>
      </c>
      <c r="D135" s="774"/>
      <c r="E135" s="12">
        <f>'Edo de Cambios en la Sit Fin'!F41</f>
        <v>0</v>
      </c>
    </row>
    <row r="136" spans="2:5" x14ac:dyDescent="0.25">
      <c r="B136" s="778"/>
      <c r="C136" s="774" t="s">
        <v>44</v>
      </c>
      <c r="D136" s="774"/>
      <c r="E136" s="12">
        <f>'Edo de Cambios en la Sit Fin'!F42</f>
        <v>0</v>
      </c>
    </row>
    <row r="137" spans="2:5" x14ac:dyDescent="0.25">
      <c r="B137" s="778"/>
      <c r="C137" s="777" t="s">
        <v>7</v>
      </c>
      <c r="D137" s="777"/>
      <c r="E137" s="11">
        <f>'Edo de Cambios en la Sit Fin'!K20</f>
        <v>0</v>
      </c>
    </row>
    <row r="138" spans="2:5" x14ac:dyDescent="0.25">
      <c r="B138" s="778"/>
      <c r="C138" s="777" t="s">
        <v>9</v>
      </c>
      <c r="D138" s="777"/>
      <c r="E138" s="11">
        <f>'Edo de Cambios en la Sit Fin'!K22</f>
        <v>276303633.01999998</v>
      </c>
    </row>
    <row r="139" spans="2:5" x14ac:dyDescent="0.25">
      <c r="B139" s="778"/>
      <c r="C139" s="774" t="s">
        <v>11</v>
      </c>
      <c r="D139" s="774"/>
      <c r="E139" s="12">
        <f>'Edo de Cambios en la Sit Fin'!K24</f>
        <v>274710472.01999998</v>
      </c>
    </row>
    <row r="140" spans="2:5" x14ac:dyDescent="0.25">
      <c r="B140" s="778"/>
      <c r="C140" s="774" t="s">
        <v>13</v>
      </c>
      <c r="D140" s="774"/>
      <c r="E140" s="12">
        <f>'Edo de Cambios en la Sit Fin'!K25</f>
        <v>0</v>
      </c>
    </row>
    <row r="141" spans="2:5" x14ac:dyDescent="0.25">
      <c r="B141" s="778"/>
      <c r="C141" s="774" t="s">
        <v>15</v>
      </c>
      <c r="D141" s="774"/>
      <c r="E141" s="12">
        <f>'Edo de Cambios en la Sit Fin'!K26</f>
        <v>0</v>
      </c>
    </row>
    <row r="142" spans="2:5" x14ac:dyDescent="0.25">
      <c r="B142" s="778"/>
      <c r="C142" s="774" t="s">
        <v>17</v>
      </c>
      <c r="D142" s="774"/>
      <c r="E142" s="12">
        <f>'Edo de Cambios en la Sit Fin'!K27</f>
        <v>0</v>
      </c>
    </row>
    <row r="143" spans="2:5" x14ac:dyDescent="0.25">
      <c r="B143" s="778"/>
      <c r="C143" s="774" t="s">
        <v>19</v>
      </c>
      <c r="D143" s="774"/>
      <c r="E143" s="12">
        <f>'Edo de Cambios en la Sit Fin'!K28</f>
        <v>0</v>
      </c>
    </row>
    <row r="144" spans="2:5" x14ac:dyDescent="0.25">
      <c r="B144" s="778"/>
      <c r="C144" s="774" t="s">
        <v>21</v>
      </c>
      <c r="D144" s="774"/>
      <c r="E144" s="12">
        <f>'Edo de Cambios en la Sit Fin'!K29</f>
        <v>1593161</v>
      </c>
    </row>
    <row r="145" spans="2:5" x14ac:dyDescent="0.25">
      <c r="B145" s="778"/>
      <c r="C145" s="774" t="s">
        <v>23</v>
      </c>
      <c r="D145" s="774"/>
      <c r="E145" s="12">
        <f>'Edo de Cambios en la Sit Fin'!K30</f>
        <v>0</v>
      </c>
    </row>
    <row r="146" spans="2:5" x14ac:dyDescent="0.25">
      <c r="B146" s="778"/>
      <c r="C146" s="774" t="s">
        <v>24</v>
      </c>
      <c r="D146" s="774"/>
      <c r="E146" s="12">
        <f>'Edo de Cambios en la Sit Fin'!K31</f>
        <v>0</v>
      </c>
    </row>
    <row r="147" spans="2:5" x14ac:dyDescent="0.25">
      <c r="B147" s="778"/>
      <c r="C147" s="780" t="s">
        <v>28</v>
      </c>
      <c r="D147" s="780"/>
      <c r="E147" s="11">
        <f>'Edo de Cambios en la Sit Fin'!K33</f>
        <v>0</v>
      </c>
    </row>
    <row r="148" spans="2:5" x14ac:dyDescent="0.25">
      <c r="B148" s="778"/>
      <c r="C148" s="774" t="s">
        <v>30</v>
      </c>
      <c r="D148" s="774"/>
      <c r="E148" s="12">
        <f>'Edo de Cambios en la Sit Fin'!K35</f>
        <v>0</v>
      </c>
    </row>
    <row r="149" spans="2:5" x14ac:dyDescent="0.25">
      <c r="B149" s="778"/>
      <c r="C149" s="774" t="s">
        <v>32</v>
      </c>
      <c r="D149" s="774"/>
      <c r="E149" s="12">
        <f>'Edo de Cambios en la Sit Fin'!K36</f>
        <v>0</v>
      </c>
    </row>
    <row r="150" spans="2:5" x14ac:dyDescent="0.25">
      <c r="B150" s="778"/>
      <c r="C150" s="774" t="s">
        <v>34</v>
      </c>
      <c r="D150" s="774"/>
      <c r="E150" s="12">
        <f>'Edo de Cambios en la Sit Fin'!K37</f>
        <v>0</v>
      </c>
    </row>
    <row r="151" spans="2:5" x14ac:dyDescent="0.25">
      <c r="B151" s="778"/>
      <c r="C151" s="774" t="s">
        <v>36</v>
      </c>
      <c r="D151" s="774"/>
      <c r="E151" s="12">
        <f>'Edo de Cambios en la Sit Fin'!K38</f>
        <v>0</v>
      </c>
    </row>
    <row r="152" spans="2:5" x14ac:dyDescent="0.25">
      <c r="B152" s="778"/>
      <c r="C152" s="774" t="s">
        <v>38</v>
      </c>
      <c r="D152" s="774"/>
      <c r="E152" s="12">
        <f>'Edo de Cambios en la Sit Fin'!K39</f>
        <v>0</v>
      </c>
    </row>
    <row r="153" spans="2:5" x14ac:dyDescent="0.25">
      <c r="B153" s="778"/>
      <c r="C153" s="774" t="s">
        <v>40</v>
      </c>
      <c r="D153" s="774"/>
      <c r="E153" s="12">
        <f>'Edo de Cambios en la Sit Fin'!K40</f>
        <v>0</v>
      </c>
    </row>
    <row r="154" spans="2:5" x14ac:dyDescent="0.25">
      <c r="B154" s="778"/>
      <c r="C154" s="777" t="s">
        <v>47</v>
      </c>
      <c r="D154" s="777"/>
      <c r="E154" s="11">
        <f>'Edo de Cambios en la Sit Fin'!K42</f>
        <v>19414037659.430012</v>
      </c>
    </row>
    <row r="155" spans="2:5" x14ac:dyDescent="0.25">
      <c r="B155" s="778"/>
      <c r="C155" s="777" t="s">
        <v>49</v>
      </c>
      <c r="D155" s="777"/>
      <c r="E155" s="11">
        <f>'Edo de Cambios en la Sit Fin'!K44</f>
        <v>0</v>
      </c>
    </row>
    <row r="156" spans="2:5" x14ac:dyDescent="0.25">
      <c r="B156" s="778"/>
      <c r="C156" s="774" t="s">
        <v>50</v>
      </c>
      <c r="D156" s="774"/>
      <c r="E156" s="12">
        <f>'Edo de Cambios en la Sit Fin'!K46</f>
        <v>0</v>
      </c>
    </row>
    <row r="157" spans="2:5" x14ac:dyDescent="0.25">
      <c r="B157" s="778"/>
      <c r="C157" s="774" t="s">
        <v>51</v>
      </c>
      <c r="D157" s="774"/>
      <c r="E157" s="12">
        <f>'Edo de Cambios en la Sit Fin'!K47</f>
        <v>0</v>
      </c>
    </row>
    <row r="158" spans="2:5" x14ac:dyDescent="0.25">
      <c r="B158" s="778"/>
      <c r="C158" s="774" t="s">
        <v>52</v>
      </c>
      <c r="D158" s="774"/>
      <c r="E158" s="12">
        <f>'Edo de Cambios en la Sit Fin'!K48</f>
        <v>0</v>
      </c>
    </row>
    <row r="159" spans="2:5" x14ac:dyDescent="0.25">
      <c r="B159" s="778"/>
      <c r="C159" s="777" t="s">
        <v>53</v>
      </c>
      <c r="D159" s="777"/>
      <c r="E159" s="11">
        <f>'Edo de Cambios en la Sit Fin'!K50</f>
        <v>19886633605.080009</v>
      </c>
    </row>
    <row r="160" spans="2:5" x14ac:dyDescent="0.25">
      <c r="B160" s="778"/>
      <c r="C160" s="774" t="s">
        <v>54</v>
      </c>
      <c r="D160" s="774"/>
      <c r="E160" s="12">
        <f>'Edo de Cambios en la Sit Fin'!K52</f>
        <v>1216968451.3699999</v>
      </c>
    </row>
    <row r="161" spans="2:5" x14ac:dyDescent="0.25">
      <c r="B161" s="778"/>
      <c r="C161" s="774" t="s">
        <v>55</v>
      </c>
      <c r="D161" s="774"/>
      <c r="E161" s="12">
        <f>'Edo de Cambios en la Sit Fin'!K53</f>
        <v>838009765.71000671</v>
      </c>
    </row>
    <row r="162" spans="2:5" x14ac:dyDescent="0.25">
      <c r="B162" s="778"/>
      <c r="C162" s="774" t="s">
        <v>56</v>
      </c>
      <c r="D162" s="774"/>
      <c r="E162" s="12">
        <f>'Edo de Cambios en la Sit Fin'!K54</f>
        <v>17831655388.000004</v>
      </c>
    </row>
    <row r="163" spans="2:5" x14ac:dyDescent="0.25">
      <c r="B163" s="778"/>
      <c r="C163" s="774" t="s">
        <v>57</v>
      </c>
      <c r="D163" s="774"/>
      <c r="E163" s="12">
        <f>'Edo de Cambios en la Sit Fin'!K55</f>
        <v>0</v>
      </c>
    </row>
    <row r="164" spans="2:5" x14ac:dyDescent="0.25">
      <c r="B164" s="778"/>
      <c r="C164" s="774" t="s">
        <v>58</v>
      </c>
      <c r="D164" s="774"/>
      <c r="E164" s="12">
        <f>'Edo de Cambios en la Sit Fin'!K56</f>
        <v>0</v>
      </c>
    </row>
    <row r="165" spans="2:5" x14ac:dyDescent="0.25">
      <c r="B165" s="778"/>
      <c r="C165" s="777" t="s">
        <v>59</v>
      </c>
      <c r="D165" s="777"/>
      <c r="E165" s="11">
        <f>'Edo de Cambios en la Sit Fin'!K58</f>
        <v>0</v>
      </c>
    </row>
    <row r="166" spans="2:5" x14ac:dyDescent="0.25">
      <c r="B166" s="778"/>
      <c r="C166" s="774" t="s">
        <v>60</v>
      </c>
      <c r="D166" s="774"/>
      <c r="E166" s="12">
        <f>'Edo de Cambios en la Sit Fin'!K60</f>
        <v>0</v>
      </c>
    </row>
    <row r="167" spans="2:5" ht="15" customHeight="1" thickBot="1" x14ac:dyDescent="0.3">
      <c r="B167" s="779"/>
      <c r="C167" s="774" t="s">
        <v>61</v>
      </c>
      <c r="D167" s="774"/>
      <c r="E167" s="12">
        <f>'Edo de Cambios en la Sit Fin'!K61</f>
        <v>0</v>
      </c>
    </row>
    <row r="168" spans="2:5" x14ac:dyDescent="0.25">
      <c r="B168" s="778" t="s">
        <v>68</v>
      </c>
      <c r="C168" s="777" t="s">
        <v>6</v>
      </c>
      <c r="D168" s="777"/>
      <c r="E168" s="11">
        <f>'Edo de Cambios en la Sit Fin'!G20</f>
        <v>18670555880.839996</v>
      </c>
    </row>
    <row r="169" spans="2:5" ht="15" customHeight="1" x14ac:dyDescent="0.25">
      <c r="B169" s="778"/>
      <c r="C169" s="777" t="s">
        <v>8</v>
      </c>
      <c r="D169" s="777"/>
      <c r="E169" s="11">
        <f>'Edo de Cambios en la Sit Fin'!G22</f>
        <v>264518475.66000009</v>
      </c>
    </row>
    <row r="170" spans="2:5" ht="15" customHeight="1" x14ac:dyDescent="0.25">
      <c r="B170" s="778"/>
      <c r="C170" s="774" t="s">
        <v>10</v>
      </c>
      <c r="D170" s="774"/>
      <c r="E170" s="12">
        <f>'Edo de Cambios en la Sit Fin'!G24</f>
        <v>43351409.730000019</v>
      </c>
    </row>
    <row r="171" spans="2:5" ht="15" customHeight="1" x14ac:dyDescent="0.25">
      <c r="B171" s="778"/>
      <c r="C171" s="774" t="s">
        <v>12</v>
      </c>
      <c r="D171" s="774"/>
      <c r="E171" s="12">
        <f>'Edo de Cambios en la Sit Fin'!G25</f>
        <v>221167065.93000007</v>
      </c>
    </row>
    <row r="172" spans="2:5" x14ac:dyDescent="0.25">
      <c r="B172" s="778"/>
      <c r="C172" s="774" t="s">
        <v>14</v>
      </c>
      <c r="D172" s="774"/>
      <c r="E172" s="12">
        <f>'Edo de Cambios en la Sit Fin'!G26</f>
        <v>0</v>
      </c>
    </row>
    <row r="173" spans="2:5" x14ac:dyDescent="0.25">
      <c r="B173" s="778"/>
      <c r="C173" s="774" t="s">
        <v>16</v>
      </c>
      <c r="D173" s="774"/>
      <c r="E173" s="12">
        <f>'Edo de Cambios en la Sit Fin'!G27</f>
        <v>0</v>
      </c>
    </row>
    <row r="174" spans="2:5" ht="15" customHeight="1" x14ac:dyDescent="0.25">
      <c r="B174" s="778"/>
      <c r="C174" s="774" t="s">
        <v>18</v>
      </c>
      <c r="D174" s="774"/>
      <c r="E174" s="12">
        <f>'Edo de Cambios en la Sit Fin'!G28</f>
        <v>0</v>
      </c>
    </row>
    <row r="175" spans="2:5" ht="15" customHeight="1" x14ac:dyDescent="0.25">
      <c r="B175" s="778"/>
      <c r="C175" s="774" t="s">
        <v>20</v>
      </c>
      <c r="D175" s="774"/>
      <c r="E175" s="12">
        <f>'Edo de Cambios en la Sit Fin'!G29</f>
        <v>0</v>
      </c>
    </row>
    <row r="176" spans="2:5" x14ac:dyDescent="0.25">
      <c r="B176" s="778"/>
      <c r="C176" s="774" t="s">
        <v>22</v>
      </c>
      <c r="D176" s="774"/>
      <c r="E176" s="12">
        <f>'Edo de Cambios en la Sit Fin'!G30</f>
        <v>0</v>
      </c>
    </row>
    <row r="177" spans="2:5" ht="15" customHeight="1" x14ac:dyDescent="0.25">
      <c r="B177" s="778"/>
      <c r="C177" s="777" t="s">
        <v>27</v>
      </c>
      <c r="D177" s="777"/>
      <c r="E177" s="11">
        <f>'Edo de Cambios en la Sit Fin'!G32</f>
        <v>18434614283.359997</v>
      </c>
    </row>
    <row r="178" spans="2:5" x14ac:dyDescent="0.25">
      <c r="B178" s="778"/>
      <c r="C178" s="774" t="s">
        <v>29</v>
      </c>
      <c r="D178" s="774"/>
      <c r="E178" s="12">
        <f>'Edo de Cambios en la Sit Fin'!G34</f>
        <v>147088976.99999994</v>
      </c>
    </row>
    <row r="179" spans="2:5" ht="15" customHeight="1" x14ac:dyDescent="0.25">
      <c r="B179" s="778"/>
      <c r="C179" s="774" t="s">
        <v>31</v>
      </c>
      <c r="D179" s="774"/>
      <c r="E179" s="12">
        <f>'Edo de Cambios en la Sit Fin'!G35</f>
        <v>0</v>
      </c>
    </row>
    <row r="180" spans="2:5" ht="15" customHeight="1" x14ac:dyDescent="0.25">
      <c r="B180" s="778"/>
      <c r="C180" s="774" t="s">
        <v>33</v>
      </c>
      <c r="D180" s="774"/>
      <c r="E180" s="12">
        <f>'Edo de Cambios en la Sit Fin'!G36</f>
        <v>18070081560.569996</v>
      </c>
    </row>
    <row r="181" spans="2:5" ht="15" customHeight="1" x14ac:dyDescent="0.25">
      <c r="B181" s="778"/>
      <c r="C181" s="774" t="s">
        <v>35</v>
      </c>
      <c r="D181" s="774"/>
      <c r="E181" s="12">
        <f>'Edo de Cambios en la Sit Fin'!G37</f>
        <v>211196192.23999977</v>
      </c>
    </row>
    <row r="182" spans="2:5" ht="15" customHeight="1" x14ac:dyDescent="0.25">
      <c r="B182" s="778"/>
      <c r="C182" s="774" t="s">
        <v>37</v>
      </c>
      <c r="D182" s="774"/>
      <c r="E182" s="12">
        <f>'Edo de Cambios en la Sit Fin'!G38</f>
        <v>6247553.549999997</v>
      </c>
    </row>
    <row r="183" spans="2:5" ht="15" customHeight="1" x14ac:dyDescent="0.25">
      <c r="B183" s="778"/>
      <c r="C183" s="774" t="s">
        <v>39</v>
      </c>
      <c r="D183" s="774"/>
      <c r="E183" s="12">
        <f>'Edo de Cambios en la Sit Fin'!G39</f>
        <v>0</v>
      </c>
    </row>
    <row r="184" spans="2:5" ht="15" customHeight="1" x14ac:dyDescent="0.25">
      <c r="B184" s="778"/>
      <c r="C184" s="774" t="s">
        <v>41</v>
      </c>
      <c r="D184" s="774"/>
      <c r="E184" s="12">
        <f>'Edo de Cambios en la Sit Fin'!G40</f>
        <v>0</v>
      </c>
    </row>
    <row r="185" spans="2:5" ht="15" customHeight="1" x14ac:dyDescent="0.25">
      <c r="B185" s="778"/>
      <c r="C185" s="774" t="s">
        <v>42</v>
      </c>
      <c r="D185" s="774"/>
      <c r="E185" s="12">
        <f>'Edo de Cambios en la Sit Fin'!G41</f>
        <v>0</v>
      </c>
    </row>
    <row r="186" spans="2:5" ht="15" customHeight="1" x14ac:dyDescent="0.25">
      <c r="B186" s="778"/>
      <c r="C186" s="774" t="s">
        <v>44</v>
      </c>
      <c r="D186" s="774"/>
      <c r="E186" s="12">
        <f>'Edo de Cambios en la Sit Fin'!G42</f>
        <v>0</v>
      </c>
    </row>
    <row r="187" spans="2:5" ht="15" customHeight="1" x14ac:dyDescent="0.25">
      <c r="B187" s="778"/>
      <c r="C187" s="777" t="s">
        <v>7</v>
      </c>
      <c r="D187" s="777"/>
      <c r="E187" s="11">
        <f>'Edo de Cambios en la Sit Fin'!L20</f>
        <v>743481778.56999636</v>
      </c>
    </row>
    <row r="188" spans="2:5" x14ac:dyDescent="0.25">
      <c r="B188" s="778"/>
      <c r="C188" s="777" t="s">
        <v>9</v>
      </c>
      <c r="D188" s="777"/>
      <c r="E188" s="11">
        <f>'Edo de Cambios en la Sit Fin'!L22</f>
        <v>0</v>
      </c>
    </row>
    <row r="189" spans="2:5" x14ac:dyDescent="0.25">
      <c r="B189" s="778"/>
      <c r="C189" s="774" t="s">
        <v>11</v>
      </c>
      <c r="D189" s="774"/>
      <c r="E189" s="12">
        <f>'Edo de Cambios en la Sit Fin'!L24</f>
        <v>0</v>
      </c>
    </row>
    <row r="190" spans="2:5" x14ac:dyDescent="0.25">
      <c r="B190" s="778"/>
      <c r="C190" s="774" t="s">
        <v>13</v>
      </c>
      <c r="D190" s="774"/>
      <c r="E190" s="12">
        <f>'Edo de Cambios en la Sit Fin'!L25</f>
        <v>0</v>
      </c>
    </row>
    <row r="191" spans="2:5" ht="15" customHeight="1" x14ac:dyDescent="0.25">
      <c r="B191" s="778"/>
      <c r="C191" s="774" t="s">
        <v>15</v>
      </c>
      <c r="D191" s="774"/>
      <c r="E191" s="12">
        <f>'Edo de Cambios en la Sit Fin'!L26</f>
        <v>0</v>
      </c>
    </row>
    <row r="192" spans="2:5" x14ac:dyDescent="0.25">
      <c r="B192" s="778"/>
      <c r="C192" s="774" t="s">
        <v>17</v>
      </c>
      <c r="D192" s="774"/>
      <c r="E192" s="12">
        <f>'Edo de Cambios en la Sit Fin'!L27</f>
        <v>0</v>
      </c>
    </row>
    <row r="193" spans="2:5" ht="15" customHeight="1" x14ac:dyDescent="0.25">
      <c r="B193" s="778"/>
      <c r="C193" s="774" t="s">
        <v>19</v>
      </c>
      <c r="D193" s="774"/>
      <c r="E193" s="12">
        <f>'Edo de Cambios en la Sit Fin'!L28</f>
        <v>0</v>
      </c>
    </row>
    <row r="194" spans="2:5" ht="15" customHeight="1" x14ac:dyDescent="0.25">
      <c r="B194" s="778"/>
      <c r="C194" s="774" t="s">
        <v>21</v>
      </c>
      <c r="D194" s="774"/>
      <c r="E194" s="12">
        <f>'Edo de Cambios en la Sit Fin'!L29</f>
        <v>0</v>
      </c>
    </row>
    <row r="195" spans="2:5" ht="15" customHeight="1" x14ac:dyDescent="0.25">
      <c r="B195" s="778"/>
      <c r="C195" s="774" t="s">
        <v>23</v>
      </c>
      <c r="D195" s="774"/>
      <c r="E195" s="12">
        <f>'Edo de Cambios en la Sit Fin'!L30</f>
        <v>0</v>
      </c>
    </row>
    <row r="196" spans="2:5" ht="15" customHeight="1" x14ac:dyDescent="0.25">
      <c r="B196" s="778"/>
      <c r="C196" s="774" t="s">
        <v>24</v>
      </c>
      <c r="D196" s="774"/>
      <c r="E196" s="12">
        <f>'Edo de Cambios en la Sit Fin'!L31</f>
        <v>0</v>
      </c>
    </row>
    <row r="197" spans="2:5" ht="15" customHeight="1" x14ac:dyDescent="0.25">
      <c r="B197" s="778"/>
      <c r="C197" s="780" t="s">
        <v>28</v>
      </c>
      <c r="D197" s="780"/>
      <c r="E197" s="11">
        <f>'Edo de Cambios en la Sit Fin'!L33</f>
        <v>1019785411.5899963</v>
      </c>
    </row>
    <row r="198" spans="2:5" ht="15" customHeight="1" x14ac:dyDescent="0.25">
      <c r="B198" s="778"/>
      <c r="C198" s="774" t="s">
        <v>30</v>
      </c>
      <c r="D198" s="774"/>
      <c r="E198" s="12">
        <f>'Edo de Cambios en la Sit Fin'!L35</f>
        <v>0</v>
      </c>
    </row>
    <row r="199" spans="2:5" ht="15" customHeight="1" x14ac:dyDescent="0.25">
      <c r="B199" s="778"/>
      <c r="C199" s="774" t="s">
        <v>32</v>
      </c>
      <c r="D199" s="774"/>
      <c r="E199" s="12">
        <f>'Edo de Cambios en la Sit Fin'!L36</f>
        <v>0</v>
      </c>
    </row>
    <row r="200" spans="2:5" ht="15" customHeight="1" x14ac:dyDescent="0.25">
      <c r="B200" s="778"/>
      <c r="C200" s="774" t="s">
        <v>34</v>
      </c>
      <c r="D200" s="774"/>
      <c r="E200" s="12">
        <f>'Edo de Cambios en la Sit Fin'!L37</f>
        <v>1019785411.5899963</v>
      </c>
    </row>
    <row r="201" spans="2:5" x14ac:dyDescent="0.25">
      <c r="B201" s="778"/>
      <c r="C201" s="774" t="s">
        <v>36</v>
      </c>
      <c r="D201" s="774"/>
      <c r="E201" s="12">
        <f>'Edo de Cambios en la Sit Fin'!L38</f>
        <v>0</v>
      </c>
    </row>
    <row r="202" spans="2:5" ht="15" customHeight="1" x14ac:dyDescent="0.25">
      <c r="B202" s="778"/>
      <c r="C202" s="774" t="s">
        <v>38</v>
      </c>
      <c r="D202" s="774"/>
      <c r="E202" s="12">
        <f>'Edo de Cambios en la Sit Fin'!L39</f>
        <v>0</v>
      </c>
    </row>
    <row r="203" spans="2:5" x14ac:dyDescent="0.25">
      <c r="B203" s="778"/>
      <c r="C203" s="774" t="s">
        <v>40</v>
      </c>
      <c r="D203" s="774"/>
      <c r="E203" s="12">
        <f>'Edo de Cambios en la Sit Fin'!L40</f>
        <v>0</v>
      </c>
    </row>
    <row r="204" spans="2:5" ht="15" customHeight="1" x14ac:dyDescent="0.25">
      <c r="B204" s="778"/>
      <c r="C204" s="777" t="s">
        <v>47</v>
      </c>
      <c r="D204" s="777"/>
      <c r="E204" s="11">
        <f>'Edo de Cambios en la Sit Fin'!L42</f>
        <v>0</v>
      </c>
    </row>
    <row r="205" spans="2:5" ht="15" customHeight="1" x14ac:dyDescent="0.25">
      <c r="B205" s="778"/>
      <c r="C205" s="777" t="s">
        <v>49</v>
      </c>
      <c r="D205" s="777"/>
      <c r="E205" s="11">
        <f>'Edo de Cambios en la Sit Fin'!L44</f>
        <v>-3.814697265625E-6</v>
      </c>
    </row>
    <row r="206" spans="2:5" ht="15" customHeight="1" x14ac:dyDescent="0.25">
      <c r="B206" s="778"/>
      <c r="C206" s="774" t="s">
        <v>50</v>
      </c>
      <c r="D206" s="774"/>
      <c r="E206" s="12">
        <f>'Edo de Cambios en la Sit Fin'!L46</f>
        <v>-3.814697265625E-6</v>
      </c>
    </row>
    <row r="207" spans="2:5" ht="15" customHeight="1" x14ac:dyDescent="0.25">
      <c r="B207" s="778"/>
      <c r="C207" s="774" t="s">
        <v>51</v>
      </c>
      <c r="D207" s="774"/>
      <c r="E207" s="12">
        <f>'Edo de Cambios en la Sit Fin'!L47</f>
        <v>0</v>
      </c>
    </row>
    <row r="208" spans="2:5" ht="15" customHeight="1" x14ac:dyDescent="0.25">
      <c r="B208" s="778"/>
      <c r="C208" s="774" t="s">
        <v>52</v>
      </c>
      <c r="D208" s="774"/>
      <c r="E208" s="12">
        <f>'Edo de Cambios en la Sit Fin'!L48</f>
        <v>0</v>
      </c>
    </row>
    <row r="209" spans="2:5" ht="15" customHeight="1" x14ac:dyDescent="0.25">
      <c r="B209" s="778"/>
      <c r="C209" s="777" t="s">
        <v>53</v>
      </c>
      <c r="D209" s="777"/>
      <c r="E209" s="11">
        <f>'Edo de Cambios en la Sit Fin'!L50</f>
        <v>472595945.64999998</v>
      </c>
    </row>
    <row r="210" spans="2:5" x14ac:dyDescent="0.25">
      <c r="B210" s="778"/>
      <c r="C210" s="774" t="s">
        <v>54</v>
      </c>
      <c r="D210" s="774"/>
      <c r="E210" s="12">
        <f>'Edo de Cambios en la Sit Fin'!L52</f>
        <v>0</v>
      </c>
    </row>
    <row r="211" spans="2:5" ht="15" customHeight="1" x14ac:dyDescent="0.25">
      <c r="B211" s="778"/>
      <c r="C211" s="774" t="s">
        <v>55</v>
      </c>
      <c r="D211" s="774"/>
      <c r="E211" s="12">
        <f>'Edo de Cambios en la Sit Fin'!L53</f>
        <v>0</v>
      </c>
    </row>
    <row r="212" spans="2:5" x14ac:dyDescent="0.25">
      <c r="B212" s="778"/>
      <c r="C212" s="774" t="s">
        <v>56</v>
      </c>
      <c r="D212" s="774"/>
      <c r="E212" s="12">
        <f>'Edo de Cambios en la Sit Fin'!L54</f>
        <v>0</v>
      </c>
    </row>
    <row r="213" spans="2:5" ht="15" customHeight="1" x14ac:dyDescent="0.25">
      <c r="B213" s="778"/>
      <c r="C213" s="774" t="s">
        <v>57</v>
      </c>
      <c r="D213" s="774"/>
      <c r="E213" s="12">
        <f>'Edo de Cambios en la Sit Fin'!L55</f>
        <v>0</v>
      </c>
    </row>
    <row r="214" spans="2:5" x14ac:dyDescent="0.25">
      <c r="B214" s="778"/>
      <c r="C214" s="774" t="s">
        <v>58</v>
      </c>
      <c r="D214" s="774"/>
      <c r="E214" s="12">
        <f>'Edo de Cambios en la Sit Fin'!L56</f>
        <v>472595945.64999998</v>
      </c>
    </row>
    <row r="215" spans="2:5" x14ac:dyDescent="0.25">
      <c r="B215" s="778"/>
      <c r="C215" s="777" t="s">
        <v>59</v>
      </c>
      <c r="D215" s="777"/>
      <c r="E215" s="11">
        <f>'Edo de Cambios en la Sit Fin'!L58</f>
        <v>0</v>
      </c>
    </row>
    <row r="216" spans="2:5" x14ac:dyDescent="0.25">
      <c r="B216" s="778"/>
      <c r="C216" s="774" t="s">
        <v>60</v>
      </c>
      <c r="D216" s="774"/>
      <c r="E216" s="12">
        <f>'Edo de Cambios en la Sit Fin'!L60</f>
        <v>0</v>
      </c>
    </row>
    <row r="217" spans="2:5" ht="15.75" thickBot="1" x14ac:dyDescent="0.3">
      <c r="B217" s="779"/>
      <c r="C217" s="774" t="s">
        <v>61</v>
      </c>
      <c r="D217" s="774"/>
      <c r="E217" s="12">
        <f>'Edo de Cambios en la Sit Fin'!L61</f>
        <v>0</v>
      </c>
    </row>
    <row r="218" spans="2:5" x14ac:dyDescent="0.25">
      <c r="C218" s="782" t="s">
        <v>75</v>
      </c>
      <c r="D218" s="5" t="s">
        <v>64</v>
      </c>
      <c r="E218" s="15" t="str">
        <f>'Edo de Cambios en la Sit Fin'!E68</f>
        <v>ING.  ISMAEL E. RAMOS FLORES</v>
      </c>
    </row>
    <row r="219" spans="2:5" x14ac:dyDescent="0.25">
      <c r="C219" s="783"/>
      <c r="D219" s="5" t="s">
        <v>65</v>
      </c>
      <c r="E219" s="15" t="str">
        <f>'Edo de Cambios en la Sit Fin'!E69</f>
        <v>Secretario de Finanzas</v>
      </c>
    </row>
    <row r="220" spans="2:5" x14ac:dyDescent="0.25">
      <c r="C220" s="783" t="s">
        <v>74</v>
      </c>
      <c r="D220" s="5" t="s">
        <v>64</v>
      </c>
      <c r="E220" s="15" t="str">
        <f>'Edo de Cambios en la Sit Fin'!I68</f>
        <v>LIC. EDGAR JULIAN MONTOYA DE LA ROSA</v>
      </c>
    </row>
    <row r="221" spans="2:5" x14ac:dyDescent="0.25">
      <c r="C221" s="783"/>
      <c r="D221" s="5" t="s">
        <v>65</v>
      </c>
      <c r="E221" s="15" t="str">
        <f>'Edo de Cambios en la Sit Fin'!I69</f>
        <v>Subsecretario de Egresos y Administración</v>
      </c>
    </row>
  </sheetData>
  <sheetProtection password="C4FF" sheet="1" objects="1" scenarios="1"/>
  <mergeCells count="234">
    <mergeCell ref="C220:C221"/>
    <mergeCell ref="C8:D8"/>
    <mergeCell ref="C27:D27"/>
    <mergeCell ref="C9:D9"/>
    <mergeCell ref="C28:D28"/>
    <mergeCell ref="C10:D10"/>
    <mergeCell ref="C29:D29"/>
    <mergeCell ref="C41:D41"/>
    <mergeCell ref="C42:D42"/>
    <mergeCell ref="C15:D15"/>
    <mergeCell ref="C112:C113"/>
    <mergeCell ref="C45:D45"/>
    <mergeCell ref="C46:D46"/>
    <mergeCell ref="C47:D47"/>
    <mergeCell ref="C48:D48"/>
    <mergeCell ref="C34:D34"/>
    <mergeCell ref="C44:D44"/>
    <mergeCell ref="C37:D37"/>
    <mergeCell ref="C72:D72"/>
    <mergeCell ref="C218:C219"/>
    <mergeCell ref="C38:D38"/>
    <mergeCell ref="C101:D101"/>
    <mergeCell ref="C89:D89"/>
    <mergeCell ref="C90:D90"/>
    <mergeCell ref="C91:D91"/>
    <mergeCell ref="C92:D92"/>
    <mergeCell ref="C95:D95"/>
    <mergeCell ref="C96:D96"/>
    <mergeCell ref="C97:D97"/>
    <mergeCell ref="C98:D98"/>
    <mergeCell ref="C99:D99"/>
    <mergeCell ref="C100:D100"/>
    <mergeCell ref="B67:B75"/>
    <mergeCell ref="C67:D67"/>
    <mergeCell ref="C73:D73"/>
    <mergeCell ref="C68:D68"/>
    <mergeCell ref="C69:D69"/>
    <mergeCell ref="C70:D70"/>
    <mergeCell ref="C71:D71"/>
    <mergeCell ref="C64:D64"/>
    <mergeCell ref="C65:D65"/>
    <mergeCell ref="C35:D35"/>
    <mergeCell ref="C50:D50"/>
    <mergeCell ref="C24:D24"/>
    <mergeCell ref="C25:D25"/>
    <mergeCell ref="C39:D39"/>
    <mergeCell ref="C40:D40"/>
    <mergeCell ref="C66:D66"/>
    <mergeCell ref="C51:D51"/>
    <mergeCell ref="C52:D52"/>
    <mergeCell ref="C53:D53"/>
    <mergeCell ref="C7:D7"/>
    <mergeCell ref="C11:D11"/>
    <mergeCell ref="C63:D63"/>
    <mergeCell ref="C55:D55"/>
    <mergeCell ref="C54:D54"/>
    <mergeCell ref="C12:D12"/>
    <mergeCell ref="C13:D13"/>
    <mergeCell ref="C32:D32"/>
    <mergeCell ref="C33:D33"/>
    <mergeCell ref="C26:D26"/>
    <mergeCell ref="C23:D23"/>
    <mergeCell ref="C43:D43"/>
    <mergeCell ref="C18:D18"/>
    <mergeCell ref="C19:D19"/>
    <mergeCell ref="C20:D20"/>
    <mergeCell ref="C21:D21"/>
    <mergeCell ref="C22:D22"/>
    <mergeCell ref="C56:D56"/>
    <mergeCell ref="C57:D57"/>
    <mergeCell ref="C49:D49"/>
    <mergeCell ref="A117:D117"/>
    <mergeCell ref="B95:B108"/>
    <mergeCell ref="A76:A77"/>
    <mergeCell ref="C76:D76"/>
    <mergeCell ref="C77:D77"/>
    <mergeCell ref="A78:A94"/>
    <mergeCell ref="B78:B85"/>
    <mergeCell ref="C78:D78"/>
    <mergeCell ref="C79:D79"/>
    <mergeCell ref="C80:D80"/>
    <mergeCell ref="B87:B92"/>
    <mergeCell ref="C93:D93"/>
    <mergeCell ref="C94:D94"/>
    <mergeCell ref="C81:D81"/>
    <mergeCell ref="C82:D82"/>
    <mergeCell ref="C83:D83"/>
    <mergeCell ref="C84:D84"/>
    <mergeCell ref="C85:D85"/>
    <mergeCell ref="C86:D86"/>
    <mergeCell ref="C87:D87"/>
    <mergeCell ref="C88:D88"/>
    <mergeCell ref="C110:C111"/>
    <mergeCell ref="A116:D116"/>
    <mergeCell ref="C108:D108"/>
    <mergeCell ref="C166:D166"/>
    <mergeCell ref="C167:D167"/>
    <mergeCell ref="B118:B167"/>
    <mergeCell ref="C153:D153"/>
    <mergeCell ref="C135:D135"/>
    <mergeCell ref="C130:D130"/>
    <mergeCell ref="C131:D131"/>
    <mergeCell ref="C120:D120"/>
    <mergeCell ref="C121:D121"/>
    <mergeCell ref="C122:D122"/>
    <mergeCell ref="C123:D123"/>
    <mergeCell ref="C132:D132"/>
    <mergeCell ref="C133:D133"/>
    <mergeCell ref="C134:D134"/>
    <mergeCell ref="C118:D118"/>
    <mergeCell ref="C119:D119"/>
    <mergeCell ref="C141:D141"/>
    <mergeCell ref="C148:D148"/>
    <mergeCell ref="C149:D149"/>
    <mergeCell ref="C150:D150"/>
    <mergeCell ref="C151:D151"/>
    <mergeCell ref="C152:D152"/>
    <mergeCell ref="C144:D144"/>
    <mergeCell ref="C145:D145"/>
    <mergeCell ref="C146:D146"/>
    <mergeCell ref="C147:D147"/>
    <mergeCell ref="C142:D142"/>
    <mergeCell ref="C143:D143"/>
    <mergeCell ref="C160:D160"/>
    <mergeCell ref="C161:D161"/>
    <mergeCell ref="C162:D162"/>
    <mergeCell ref="C163:D163"/>
    <mergeCell ref="C164:D164"/>
    <mergeCell ref="C165:D165"/>
    <mergeCell ref="A2:D2"/>
    <mergeCell ref="C156:D156"/>
    <mergeCell ref="C157:D157"/>
    <mergeCell ref="C158:D158"/>
    <mergeCell ref="C159:D159"/>
    <mergeCell ref="C154:D154"/>
    <mergeCell ref="C155:D155"/>
    <mergeCell ref="C124:D124"/>
    <mergeCell ref="C125:D125"/>
    <mergeCell ref="C126:D126"/>
    <mergeCell ref="C127:D127"/>
    <mergeCell ref="C128:D128"/>
    <mergeCell ref="C129:D129"/>
    <mergeCell ref="C136:D136"/>
    <mergeCell ref="C137:D137"/>
    <mergeCell ref="C138:D138"/>
    <mergeCell ref="C139:D139"/>
    <mergeCell ref="C140:D140"/>
    <mergeCell ref="A3:D3"/>
    <mergeCell ref="A4:D4"/>
    <mergeCell ref="A5:D5"/>
    <mergeCell ref="A114:D114"/>
    <mergeCell ref="A115:D115"/>
    <mergeCell ref="C168:D168"/>
    <mergeCell ref="C170:D170"/>
    <mergeCell ref="C172:D172"/>
    <mergeCell ref="C173:D173"/>
    <mergeCell ref="C174:D174"/>
    <mergeCell ref="C192:D192"/>
    <mergeCell ref="C194:D194"/>
    <mergeCell ref="C175:D175"/>
    <mergeCell ref="C176:D176"/>
    <mergeCell ref="C177:D177"/>
    <mergeCell ref="C178:D178"/>
    <mergeCell ref="C216:D216"/>
    <mergeCell ref="C202:D202"/>
    <mergeCell ref="C203:D203"/>
    <mergeCell ref="C205:D205"/>
    <mergeCell ref="C207:D207"/>
    <mergeCell ref="C208:D208"/>
    <mergeCell ref="C209:D209"/>
    <mergeCell ref="C213:D213"/>
    <mergeCell ref="C215:D215"/>
    <mergeCell ref="C204:D204"/>
    <mergeCell ref="C206:D206"/>
    <mergeCell ref="C201:D201"/>
    <mergeCell ref="C187:D187"/>
    <mergeCell ref="C188:D188"/>
    <mergeCell ref="C189:D189"/>
    <mergeCell ref="C190:D190"/>
    <mergeCell ref="C212:D212"/>
    <mergeCell ref="C214:D214"/>
    <mergeCell ref="C196:D196"/>
    <mergeCell ref="C197:D197"/>
    <mergeCell ref="C198:D198"/>
    <mergeCell ref="C199:D199"/>
    <mergeCell ref="C200:D200"/>
    <mergeCell ref="C6:D6"/>
    <mergeCell ref="C102:D102"/>
    <mergeCell ref="C103:D103"/>
    <mergeCell ref="C104:D104"/>
    <mergeCell ref="C105:D105"/>
    <mergeCell ref="C106:D106"/>
    <mergeCell ref="C107:D107"/>
    <mergeCell ref="C217:D217"/>
    <mergeCell ref="B168:B217"/>
    <mergeCell ref="C169:D169"/>
    <mergeCell ref="C171:D171"/>
    <mergeCell ref="C179:D179"/>
    <mergeCell ref="C181:D181"/>
    <mergeCell ref="C210:D210"/>
    <mergeCell ref="C211:D211"/>
    <mergeCell ref="C191:D191"/>
    <mergeCell ref="C193:D193"/>
    <mergeCell ref="C180:D180"/>
    <mergeCell ref="C182:D182"/>
    <mergeCell ref="C183:D183"/>
    <mergeCell ref="C184:D184"/>
    <mergeCell ref="C185:D185"/>
    <mergeCell ref="C186:D186"/>
    <mergeCell ref="C195:D195"/>
    <mergeCell ref="A7:A23"/>
    <mergeCell ref="A24:A25"/>
    <mergeCell ref="A59:A75"/>
    <mergeCell ref="B59:B65"/>
    <mergeCell ref="C59:D59"/>
    <mergeCell ref="C60:D60"/>
    <mergeCell ref="C61:D61"/>
    <mergeCell ref="C62:D62"/>
    <mergeCell ref="C109:D109"/>
    <mergeCell ref="C58:D58"/>
    <mergeCell ref="B7:B13"/>
    <mergeCell ref="B15:B23"/>
    <mergeCell ref="A26:A42"/>
    <mergeCell ref="B26:B33"/>
    <mergeCell ref="B35:B40"/>
    <mergeCell ref="B43:B56"/>
    <mergeCell ref="C75:D75"/>
    <mergeCell ref="C74:D74"/>
    <mergeCell ref="C14:D14"/>
    <mergeCell ref="C17:D17"/>
    <mergeCell ref="C16:D16"/>
    <mergeCell ref="C36:D36"/>
    <mergeCell ref="C30:D30"/>
    <mergeCell ref="C31:D3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V70"/>
  <sheetViews>
    <sheetView showWhiteSpace="0" topLeftCell="F1" zoomScaleNormal="100" workbookViewId="0">
      <selection activeCell="C62" sqref="C62:C64"/>
    </sheetView>
  </sheetViews>
  <sheetFormatPr baseColWidth="10" defaultRowHeight="14.25" x14ac:dyDescent="0.2"/>
  <cols>
    <col min="1" max="1" width="1.7109375" style="26" customWidth="1"/>
    <col min="2" max="3" width="3.7109375" style="26" customWidth="1"/>
    <col min="4" max="4" width="23.85546875" style="26" customWidth="1"/>
    <col min="5" max="5" width="21.42578125" style="26" customWidth="1"/>
    <col min="6" max="6" width="17.28515625" style="26" customWidth="1"/>
    <col min="7" max="8" width="18.7109375" style="41" customWidth="1"/>
    <col min="9" max="9" width="7.7109375" style="26" customWidth="1"/>
    <col min="10" max="11" width="3.7109375" style="17" customWidth="1"/>
    <col min="12" max="16" width="18.7109375" style="17" customWidth="1"/>
    <col min="17" max="17" width="1.85546875" style="17" customWidth="1"/>
    <col min="18" max="18" width="21.85546875" style="17" bestFit="1" customWidth="1"/>
    <col min="19" max="19" width="13.140625" style="17" customWidth="1"/>
    <col min="20" max="20" width="19.7109375" style="17" hidden="1" customWidth="1"/>
    <col min="21" max="21" width="17" style="17" hidden="1" customWidth="1"/>
    <col min="22" max="22" width="16.85546875" style="17" hidden="1" customWidth="1"/>
    <col min="23" max="16384" width="11.42578125" style="17"/>
  </cols>
  <sheetData>
    <row r="7" spans="1:17" s="19" customFormat="1" ht="16.5" customHeight="1" x14ac:dyDescent="0.25">
      <c r="B7" s="20"/>
      <c r="C7" s="20"/>
      <c r="D7" s="20"/>
      <c r="E7" s="741" t="str">
        <f>+'Edo de Cambios en la Sit Fin'!E9:K9</f>
        <v>Cuenta Pública 2016</v>
      </c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20"/>
      <c r="Q7" s="20"/>
    </row>
    <row r="8" spans="1:17" ht="15" customHeight="1" x14ac:dyDescent="0.25">
      <c r="B8" s="20"/>
      <c r="C8" s="20"/>
      <c r="D8" s="20"/>
      <c r="E8" s="741" t="s">
        <v>173</v>
      </c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20"/>
      <c r="Q8" s="20"/>
    </row>
    <row r="9" spans="1:17" ht="15" customHeight="1" x14ac:dyDescent="0.25">
      <c r="B9" s="20"/>
      <c r="C9" s="20"/>
      <c r="D9" s="20"/>
      <c r="E9" s="741" t="str">
        <f>+'Edo de Cambios en la Sit Fin'!E11:K11</f>
        <v>Del 1 de enero al 31 de diciembre de 2016</v>
      </c>
      <c r="F9" s="741"/>
      <c r="G9" s="741"/>
      <c r="H9" s="741"/>
      <c r="I9" s="741"/>
      <c r="J9" s="741"/>
      <c r="K9" s="741"/>
      <c r="L9" s="741"/>
      <c r="M9" s="741"/>
      <c r="N9" s="741"/>
      <c r="O9" s="741"/>
      <c r="P9" s="20"/>
      <c r="Q9" s="20"/>
    </row>
    <row r="10" spans="1:17" ht="16.5" customHeight="1" x14ac:dyDescent="0.25">
      <c r="B10" s="20"/>
      <c r="C10" s="20"/>
      <c r="D10" s="20"/>
      <c r="E10" s="741" t="s">
        <v>1</v>
      </c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20"/>
      <c r="Q10" s="20"/>
    </row>
    <row r="11" spans="1:17" ht="3" customHeight="1" x14ac:dyDescent="0.25">
      <c r="C11" s="25"/>
      <c r="D11" s="245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0"/>
      <c r="P11" s="19"/>
      <c r="Q11" s="19"/>
    </row>
    <row r="12" spans="1:17" ht="19.5" customHeight="1" x14ac:dyDescent="0.25">
      <c r="A12" s="89"/>
      <c r="B12" s="718"/>
      <c r="C12" s="718"/>
      <c r="D12" s="718"/>
      <c r="E12" s="741" t="s">
        <v>389</v>
      </c>
      <c r="F12" s="741"/>
      <c r="G12" s="741"/>
      <c r="H12" s="741"/>
      <c r="I12" s="741"/>
      <c r="J12" s="741"/>
      <c r="K12" s="741"/>
      <c r="L12" s="741"/>
      <c r="M12" s="741"/>
      <c r="N12" s="741"/>
      <c r="O12" s="741"/>
      <c r="P12" s="244"/>
      <c r="Q12" s="19"/>
    </row>
    <row r="13" spans="1:17" s="19" customFormat="1" ht="5.0999999999999996" customHeight="1" x14ac:dyDescent="0.25">
      <c r="A13" s="26"/>
      <c r="B13" s="25"/>
      <c r="C13" s="25"/>
      <c r="D13" s="245"/>
      <c r="E13" s="25"/>
      <c r="F13" s="25"/>
      <c r="G13" s="246"/>
      <c r="H13" s="246"/>
      <c r="I13" s="245"/>
    </row>
    <row r="14" spans="1:17" s="19" customFormat="1" ht="3" customHeight="1" x14ac:dyDescent="0.2">
      <c r="A14" s="26"/>
      <c r="B14" s="26"/>
      <c r="C14" s="247"/>
      <c r="D14" s="245"/>
      <c r="E14" s="247"/>
      <c r="F14" s="247"/>
      <c r="G14" s="248"/>
      <c r="H14" s="248"/>
      <c r="I14" s="245"/>
    </row>
    <row r="15" spans="1:17" s="19" customFormat="1" ht="31.5" customHeight="1" x14ac:dyDescent="0.2">
      <c r="A15" s="249"/>
      <c r="B15" s="784" t="s">
        <v>76</v>
      </c>
      <c r="C15" s="784"/>
      <c r="D15" s="784"/>
      <c r="E15" s="784"/>
      <c r="F15" s="32"/>
      <c r="G15" s="31">
        <v>2016</v>
      </c>
      <c r="H15" s="31">
        <v>2015</v>
      </c>
      <c r="I15" s="250"/>
      <c r="J15" s="784" t="s">
        <v>76</v>
      </c>
      <c r="K15" s="784"/>
      <c r="L15" s="784"/>
      <c r="M15" s="784"/>
      <c r="N15" s="32"/>
      <c r="O15" s="31">
        <v>2016</v>
      </c>
      <c r="P15" s="31">
        <v>2015</v>
      </c>
      <c r="Q15" s="251"/>
    </row>
    <row r="16" spans="1:17" s="19" customFormat="1" ht="3" customHeight="1" x14ac:dyDescent="0.2">
      <c r="A16" s="35"/>
      <c r="B16" s="26"/>
      <c r="C16" s="26"/>
      <c r="D16" s="36"/>
      <c r="E16" s="36"/>
      <c r="F16" s="36"/>
      <c r="G16" s="252"/>
      <c r="H16" s="252"/>
      <c r="I16" s="26"/>
      <c r="Q16" s="38"/>
    </row>
    <row r="17" spans="1:22" s="19" customFormat="1" ht="15" x14ac:dyDescent="0.2">
      <c r="A17" s="98"/>
      <c r="B17" s="41"/>
      <c r="C17" s="122"/>
      <c r="D17" s="122"/>
      <c r="E17" s="122"/>
      <c r="F17" s="122"/>
      <c r="G17" s="252"/>
      <c r="H17" s="252"/>
      <c r="I17" s="41"/>
      <c r="Q17" s="38"/>
    </row>
    <row r="18" spans="1:22" ht="17.25" customHeight="1" x14ac:dyDescent="0.2">
      <c r="A18" s="98"/>
      <c r="B18" s="785" t="s">
        <v>174</v>
      </c>
      <c r="C18" s="785"/>
      <c r="D18" s="785"/>
      <c r="E18" s="785"/>
      <c r="F18" s="785"/>
      <c r="G18" s="252"/>
      <c r="H18" s="252"/>
      <c r="I18" s="41"/>
      <c r="J18" s="785" t="s">
        <v>175</v>
      </c>
      <c r="K18" s="785"/>
      <c r="L18" s="785"/>
      <c r="M18" s="785"/>
      <c r="N18" s="785"/>
      <c r="O18" s="253"/>
      <c r="P18" s="253"/>
      <c r="Q18" s="38"/>
    </row>
    <row r="19" spans="1:22" ht="17.25" customHeight="1" x14ac:dyDescent="0.2">
      <c r="A19" s="98"/>
      <c r="B19" s="41"/>
      <c r="C19" s="122"/>
      <c r="D19" s="41"/>
      <c r="E19" s="122"/>
      <c r="F19" s="122"/>
      <c r="G19" s="252"/>
      <c r="H19" s="252"/>
      <c r="I19" s="41"/>
      <c r="J19" s="41"/>
      <c r="K19" s="122"/>
      <c r="L19" s="122"/>
      <c r="M19" s="122"/>
      <c r="N19" s="122"/>
      <c r="O19" s="253"/>
      <c r="P19" s="253"/>
      <c r="Q19" s="38"/>
    </row>
    <row r="20" spans="1:22" ht="17.25" customHeight="1" x14ac:dyDescent="0.2">
      <c r="A20" s="98"/>
      <c r="B20" s="41"/>
      <c r="C20" s="785" t="s">
        <v>67</v>
      </c>
      <c r="D20" s="785"/>
      <c r="E20" s="785"/>
      <c r="F20" s="785"/>
      <c r="G20" s="254">
        <f>SUM(G21:G31)</f>
        <v>46351909672.589996</v>
      </c>
      <c r="H20" s="254">
        <f>SUM(H21:H31)</f>
        <v>40980950047.839996</v>
      </c>
      <c r="I20" s="41"/>
      <c r="J20" s="41"/>
      <c r="K20" s="785" t="s">
        <v>67</v>
      </c>
      <c r="L20" s="785"/>
      <c r="M20" s="785"/>
      <c r="N20" s="785"/>
      <c r="O20" s="254">
        <f>SUM(O21:O23)</f>
        <v>17831655388.000004</v>
      </c>
      <c r="P20" s="254">
        <f>SUM(P21:P23)</f>
        <v>0</v>
      </c>
      <c r="Q20" s="38"/>
    </row>
    <row r="21" spans="1:22" ht="15" customHeight="1" x14ac:dyDescent="0.2">
      <c r="A21" s="98"/>
      <c r="B21" s="41"/>
      <c r="C21" s="122"/>
      <c r="D21" s="786" t="s">
        <v>84</v>
      </c>
      <c r="E21" s="786"/>
      <c r="F21" s="786"/>
      <c r="G21" s="47">
        <f>+'Estado de Actividades'!D19</f>
        <v>4522248029</v>
      </c>
      <c r="H21" s="47">
        <f>+'Estado de Actividades'!E19</f>
        <v>3598775692.1500001</v>
      </c>
      <c r="I21" s="41"/>
      <c r="J21" s="41"/>
      <c r="K21" s="19"/>
      <c r="L21" s="788" t="s">
        <v>33</v>
      </c>
      <c r="M21" s="788"/>
      <c r="N21" s="788"/>
      <c r="O21" s="51">
        <f>+'Edo de Cambios en la Sit Fin'!F36+'Edo de Cambios en la Sit Fin'!K54</f>
        <v>17831655388.000004</v>
      </c>
      <c r="P21" s="51">
        <v>0</v>
      </c>
      <c r="Q21" s="38"/>
    </row>
    <row r="22" spans="1:22" ht="15" customHeight="1" x14ac:dyDescent="0.2">
      <c r="A22" s="98"/>
      <c r="B22" s="41"/>
      <c r="C22" s="122"/>
      <c r="D22" s="786" t="s">
        <v>196</v>
      </c>
      <c r="E22" s="786"/>
      <c r="F22" s="786"/>
      <c r="G22" s="47">
        <f>+'Estado de Actividades'!D20</f>
        <v>0</v>
      </c>
      <c r="H22" s="47">
        <f>+'Estado de Actividades'!E20</f>
        <v>0</v>
      </c>
      <c r="I22" s="41"/>
      <c r="J22" s="41"/>
      <c r="K22" s="19"/>
      <c r="L22" s="787" t="s">
        <v>35</v>
      </c>
      <c r="M22" s="787"/>
      <c r="N22" s="787"/>
      <c r="O22" s="51">
        <f>+'Edo de Cambios en la Sit Fin'!F37</f>
        <v>0</v>
      </c>
      <c r="P22" s="51">
        <v>0</v>
      </c>
      <c r="Q22" s="38"/>
      <c r="T22" s="650"/>
      <c r="U22" s="650"/>
    </row>
    <row r="23" spans="1:22" ht="15" customHeight="1" x14ac:dyDescent="0.2">
      <c r="A23" s="98"/>
      <c r="B23" s="41"/>
      <c r="C23" s="256"/>
      <c r="D23" s="786" t="s">
        <v>176</v>
      </c>
      <c r="E23" s="786"/>
      <c r="F23" s="786"/>
      <c r="G23" s="47">
        <f>+'Estado de Actividades'!D21</f>
        <v>528446508.38999999</v>
      </c>
      <c r="H23" s="47">
        <f>+'Estado de Actividades'!E21</f>
        <v>388119069.43000001</v>
      </c>
      <c r="I23" s="41"/>
      <c r="J23" s="41"/>
      <c r="K23" s="252"/>
      <c r="L23" s="787" t="s">
        <v>200</v>
      </c>
      <c r="M23" s="787"/>
      <c r="N23" s="787"/>
      <c r="O23" s="255">
        <v>0</v>
      </c>
      <c r="P23" s="255">
        <v>0</v>
      </c>
      <c r="Q23" s="38"/>
      <c r="T23" s="650"/>
      <c r="U23" s="650"/>
    </row>
    <row r="24" spans="1:22" ht="15" customHeight="1" x14ac:dyDescent="0.2">
      <c r="A24" s="98"/>
      <c r="B24" s="41"/>
      <c r="C24" s="256"/>
      <c r="D24" s="786" t="s">
        <v>90</v>
      </c>
      <c r="E24" s="786"/>
      <c r="F24" s="786"/>
      <c r="G24" s="47">
        <f>+'Estado de Actividades'!D22</f>
        <v>2742609713.8200002</v>
      </c>
      <c r="H24" s="47">
        <f>+'Estado de Actividades'!E22</f>
        <v>1832660424.54</v>
      </c>
      <c r="I24" s="41"/>
      <c r="J24" s="41"/>
      <c r="K24" s="252"/>
      <c r="Q24" s="38"/>
      <c r="T24" s="651" t="s">
        <v>791</v>
      </c>
      <c r="U24" s="652" t="s">
        <v>790</v>
      </c>
    </row>
    <row r="25" spans="1:22" ht="15" customHeight="1" x14ac:dyDescent="0.2">
      <c r="A25" s="98"/>
      <c r="B25" s="41"/>
      <c r="C25" s="256"/>
      <c r="D25" s="786" t="s">
        <v>91</v>
      </c>
      <c r="E25" s="786"/>
      <c r="F25" s="786"/>
      <c r="G25" s="47">
        <f>+'Estado de Actividades'!D23</f>
        <v>55285981.880000003</v>
      </c>
      <c r="H25" s="47">
        <f>+'Estado de Actividades'!E23</f>
        <v>48332793.539999999</v>
      </c>
      <c r="I25" s="41"/>
      <c r="J25" s="41"/>
      <c r="K25" s="257" t="s">
        <v>68</v>
      </c>
      <c r="L25" s="257"/>
      <c r="M25" s="257"/>
      <c r="N25" s="257"/>
      <c r="O25" s="254">
        <f>SUM(O26:O28)</f>
        <v>18287525306.359997</v>
      </c>
      <c r="P25" s="254">
        <f>SUM(P26:P28)</f>
        <v>530749409.14000046</v>
      </c>
      <c r="Q25" s="38"/>
      <c r="T25" s="652"/>
      <c r="U25" s="652"/>
    </row>
    <row r="26" spans="1:22" ht="15" customHeight="1" x14ac:dyDescent="0.2">
      <c r="A26" s="98"/>
      <c r="B26" s="41"/>
      <c r="C26" s="256"/>
      <c r="D26" s="786" t="s">
        <v>92</v>
      </c>
      <c r="E26" s="786"/>
      <c r="F26" s="786"/>
      <c r="G26" s="47">
        <f>+'Estado de Actividades'!D24</f>
        <v>417252693.29000002</v>
      </c>
      <c r="H26" s="47">
        <f>+'Estado de Actividades'!E24</f>
        <v>505565380.88</v>
      </c>
      <c r="I26" s="41"/>
      <c r="J26" s="41"/>
      <c r="K26" s="252"/>
      <c r="L26" s="563" t="s">
        <v>33</v>
      </c>
      <c r="M26" s="256"/>
      <c r="N26" s="256"/>
      <c r="O26" s="255">
        <f>+'Edo de Cambios en la Sit Fin'!G36</f>
        <v>18070081560.569996</v>
      </c>
      <c r="P26" s="255">
        <v>303340010.52000046</v>
      </c>
      <c r="Q26" s="38"/>
      <c r="R26" s="360"/>
      <c r="T26" s="647">
        <v>17742762516.189999</v>
      </c>
      <c r="U26" s="647">
        <v>17854763138</v>
      </c>
      <c r="V26" s="654">
        <f>+U26-T26</f>
        <v>112000621.81000137</v>
      </c>
    </row>
    <row r="27" spans="1:22" ht="15" customHeight="1" x14ac:dyDescent="0.2">
      <c r="A27" s="98"/>
      <c r="B27" s="41"/>
      <c r="C27" s="256"/>
      <c r="D27" s="786" t="s">
        <v>94</v>
      </c>
      <c r="E27" s="786"/>
      <c r="F27" s="786"/>
      <c r="G27" s="47">
        <f>+'Estado de Actividades'!D25</f>
        <v>0</v>
      </c>
      <c r="H27" s="47">
        <f>+'Estado de Actividades'!E25</f>
        <v>0</v>
      </c>
      <c r="I27" s="41"/>
      <c r="J27" s="41"/>
      <c r="K27" s="252"/>
      <c r="L27" s="787" t="s">
        <v>35</v>
      </c>
      <c r="M27" s="787"/>
      <c r="N27" s="787"/>
      <c r="O27" s="255">
        <f>+'Edo de Cambios en la Sit Fin'!G37</f>
        <v>211196192.23999977</v>
      </c>
      <c r="P27" s="255">
        <v>214643968.76999998</v>
      </c>
      <c r="Q27" s="38"/>
      <c r="R27" s="360"/>
      <c r="T27" s="647">
        <v>2680319654.4499998</v>
      </c>
      <c r="U27" s="647">
        <v>2749570707</v>
      </c>
      <c r="V27" s="654">
        <f t="shared" ref="V27:V28" si="0">+U27-T27</f>
        <v>69251052.550000191</v>
      </c>
    </row>
    <row r="28" spans="1:22" ht="28.5" customHeight="1" x14ac:dyDescent="0.2">
      <c r="A28" s="98"/>
      <c r="B28" s="41"/>
      <c r="C28" s="256"/>
      <c r="D28" s="786" t="s">
        <v>96</v>
      </c>
      <c r="E28" s="786"/>
      <c r="F28" s="786"/>
      <c r="G28" s="47">
        <f>+'Estado de Actividades'!D26</f>
        <v>0</v>
      </c>
      <c r="H28" s="47">
        <f>+'Estado de Actividades'!E26</f>
        <v>0</v>
      </c>
      <c r="I28" s="41"/>
      <c r="J28" s="41"/>
      <c r="K28" s="19"/>
      <c r="L28" s="787" t="s">
        <v>201</v>
      </c>
      <c r="M28" s="787"/>
      <c r="N28" s="787"/>
      <c r="O28" s="255">
        <f>+'Edo de Cambios en la Sit Fin'!G38</f>
        <v>6247553.549999997</v>
      </c>
      <c r="P28" s="255">
        <v>12765429.850000001</v>
      </c>
      <c r="Q28" s="38"/>
      <c r="R28" s="360"/>
      <c r="T28" s="647">
        <v>31673999.07</v>
      </c>
      <c r="U28" s="647">
        <v>35933969</v>
      </c>
      <c r="V28" s="654">
        <f t="shared" si="0"/>
        <v>4259969.93</v>
      </c>
    </row>
    <row r="29" spans="1:22" ht="15" customHeight="1" x14ac:dyDescent="0.2">
      <c r="A29" s="98"/>
      <c r="B29" s="41"/>
      <c r="C29" s="256"/>
      <c r="D29" s="786" t="s">
        <v>101</v>
      </c>
      <c r="E29" s="786"/>
      <c r="F29" s="786"/>
      <c r="G29" s="51">
        <f>+'Estado de Actividades'!D29</f>
        <v>37591897371.269997</v>
      </c>
      <c r="H29" s="51">
        <f>+'Estado de Actividades'!E29</f>
        <v>34523033712.959999</v>
      </c>
      <c r="I29" s="41"/>
      <c r="J29" s="41"/>
      <c r="K29" s="785" t="s">
        <v>177</v>
      </c>
      <c r="L29" s="785"/>
      <c r="M29" s="785"/>
      <c r="N29" s="785"/>
      <c r="O29" s="254">
        <f>O20-O25</f>
        <v>-455869918.35999298</v>
      </c>
      <c r="P29" s="254">
        <f>P20-P25</f>
        <v>-530749409.14000046</v>
      </c>
      <c r="Q29" s="38"/>
      <c r="R29" s="360"/>
      <c r="T29" s="652"/>
      <c r="U29" s="652"/>
    </row>
    <row r="30" spans="1:22" ht="15" customHeight="1" x14ac:dyDescent="0.2">
      <c r="A30" s="98"/>
      <c r="B30" s="41"/>
      <c r="C30" s="256"/>
      <c r="D30" s="786" t="s">
        <v>197</v>
      </c>
      <c r="E30" s="786"/>
      <c r="F30" s="786"/>
      <c r="G30" s="51">
        <f>+'Estado de Actividades'!D30</f>
        <v>302193155</v>
      </c>
      <c r="H30" s="51">
        <f>+'Estado de Actividades'!E30</f>
        <v>0</v>
      </c>
      <c r="I30" s="41"/>
      <c r="J30" s="41"/>
      <c r="Q30" s="38"/>
      <c r="R30" s="360"/>
      <c r="T30" s="652"/>
      <c r="U30" s="652"/>
    </row>
    <row r="31" spans="1:22" ht="15" customHeight="1" x14ac:dyDescent="0.2">
      <c r="A31" s="98"/>
      <c r="B31" s="41"/>
      <c r="C31" s="256"/>
      <c r="D31" s="786" t="s">
        <v>198</v>
      </c>
      <c r="E31" s="786"/>
      <c r="F31" s="158"/>
      <c r="G31" s="47">
        <f>+'Estado de Actividades'!D32</f>
        <v>191976219.94</v>
      </c>
      <c r="H31" s="47">
        <f>+'Estado de Actividades'!E32</f>
        <v>84462974.340000004</v>
      </c>
      <c r="I31" s="41"/>
      <c r="J31" s="19"/>
      <c r="Q31" s="38"/>
      <c r="R31" s="360"/>
      <c r="T31" s="652"/>
      <c r="U31" s="652"/>
    </row>
    <row r="32" spans="1:22" ht="15" customHeight="1" x14ac:dyDescent="0.2">
      <c r="A32" s="98"/>
      <c r="B32" s="41"/>
      <c r="C32" s="122"/>
      <c r="D32" s="41"/>
      <c r="E32" s="122"/>
      <c r="F32" s="122"/>
      <c r="G32" s="252"/>
      <c r="H32" s="252"/>
      <c r="I32" s="41"/>
      <c r="J32" s="785" t="s">
        <v>178</v>
      </c>
      <c r="K32" s="785"/>
      <c r="L32" s="785"/>
      <c r="M32" s="785"/>
      <c r="N32" s="785"/>
      <c r="O32" s="19"/>
      <c r="P32" s="19"/>
      <c r="Q32" s="38"/>
      <c r="R32" s="360"/>
    </row>
    <row r="33" spans="1:22" ht="15" customHeight="1" x14ac:dyDescent="0.2">
      <c r="A33" s="98"/>
      <c r="B33" s="41"/>
      <c r="C33" s="785" t="s">
        <v>68</v>
      </c>
      <c r="D33" s="785"/>
      <c r="E33" s="785"/>
      <c r="F33" s="785"/>
      <c r="G33" s="254">
        <f>SUM(G34:G52)</f>
        <v>44296931455.51001</v>
      </c>
      <c r="H33" s="254">
        <f>SUM(H34:H52)</f>
        <v>40142940282.130005</v>
      </c>
      <c r="I33" s="41"/>
      <c r="J33" s="41"/>
      <c r="K33" s="122"/>
      <c r="L33" s="41"/>
      <c r="M33" s="158"/>
      <c r="N33" s="158"/>
      <c r="O33" s="253"/>
      <c r="P33" s="253"/>
      <c r="Q33" s="38"/>
      <c r="T33" s="647"/>
      <c r="U33" s="647"/>
    </row>
    <row r="34" spans="1:22" ht="15" customHeight="1" x14ac:dyDescent="0.2">
      <c r="A34" s="98"/>
      <c r="B34" s="41"/>
      <c r="C34" s="257"/>
      <c r="D34" s="786" t="s">
        <v>179</v>
      </c>
      <c r="E34" s="786"/>
      <c r="F34" s="786"/>
      <c r="G34" s="47">
        <f>+'Estado de Actividades'!I19</f>
        <v>15299981875.92</v>
      </c>
      <c r="H34" s="47">
        <f>+'Estado de Actividades'!J19</f>
        <v>15124111401.57</v>
      </c>
      <c r="I34" s="41"/>
      <c r="J34" s="41"/>
      <c r="K34" s="257" t="s">
        <v>67</v>
      </c>
      <c r="L34" s="257"/>
      <c r="M34" s="257"/>
      <c r="N34" s="257"/>
      <c r="O34" s="254">
        <f>O35+O38</f>
        <v>304880511.19999999</v>
      </c>
      <c r="P34" s="254">
        <f>P35+P38</f>
        <v>3386288649.4199967</v>
      </c>
      <c r="Q34" s="38"/>
      <c r="R34" s="360"/>
      <c r="S34" s="421"/>
      <c r="T34" s="647"/>
      <c r="U34" s="647"/>
    </row>
    <row r="35" spans="1:22" ht="15" customHeight="1" x14ac:dyDescent="0.2">
      <c r="A35" s="98"/>
      <c r="B35" s="41"/>
      <c r="C35" s="257"/>
      <c r="D35" s="786" t="s">
        <v>87</v>
      </c>
      <c r="E35" s="786"/>
      <c r="F35" s="786"/>
      <c r="G35" s="47">
        <f>+'Estado de Actividades'!I20</f>
        <v>927200011.75</v>
      </c>
      <c r="H35" s="47">
        <f>+'Estado de Actividades'!J20</f>
        <v>554346269.42999995</v>
      </c>
      <c r="I35" s="41"/>
      <c r="J35" s="19"/>
      <c r="K35" s="19"/>
      <c r="L35" s="256" t="s">
        <v>180</v>
      </c>
      <c r="M35" s="256"/>
      <c r="N35" s="256"/>
      <c r="O35" s="255">
        <f>SUM(O36:O37)</f>
        <v>0</v>
      </c>
      <c r="P35" s="255">
        <v>3245319957.6999969</v>
      </c>
      <c r="Q35" s="38"/>
      <c r="T35" s="647"/>
      <c r="U35" s="647"/>
    </row>
    <row r="36" spans="1:22" ht="15" customHeight="1" x14ac:dyDescent="0.2">
      <c r="A36" s="98"/>
      <c r="B36" s="41"/>
      <c r="C36" s="257"/>
      <c r="D36" s="786" t="s">
        <v>89</v>
      </c>
      <c r="E36" s="786"/>
      <c r="F36" s="786"/>
      <c r="G36" s="47">
        <f>+'Estado de Actividades'!I21</f>
        <v>3468660421.7199998</v>
      </c>
      <c r="H36" s="47">
        <f>+'Estado de Actividades'!J21</f>
        <v>2481658395.77</v>
      </c>
      <c r="I36" s="41"/>
      <c r="J36" s="41"/>
      <c r="K36" s="257"/>
      <c r="L36" s="256" t="s">
        <v>181</v>
      </c>
      <c r="M36" s="256"/>
      <c r="N36" s="256"/>
      <c r="O36" s="255">
        <f>+'Edo de Cambios en la Sit Fin'!K26</f>
        <v>0</v>
      </c>
      <c r="P36" s="255">
        <v>3245319957.6999969</v>
      </c>
      <c r="Q36" s="38"/>
      <c r="S36" s="360"/>
      <c r="T36" s="647">
        <f>3722388589.06-42753673.32</f>
        <v>3679634915.7399998</v>
      </c>
      <c r="U36" s="647">
        <v>3345225319</v>
      </c>
      <c r="V36" s="654">
        <f>+T36-U36</f>
        <v>334409596.73999977</v>
      </c>
    </row>
    <row r="37" spans="1:22" ht="15" customHeight="1" x14ac:dyDescent="0.2">
      <c r="A37" s="98"/>
      <c r="B37" s="41"/>
      <c r="C37" s="122"/>
      <c r="D37" s="41"/>
      <c r="E37" s="122"/>
      <c r="F37" s="122"/>
      <c r="G37" s="252"/>
      <c r="H37" s="252"/>
      <c r="I37" s="41"/>
      <c r="J37" s="41"/>
      <c r="K37" s="257"/>
      <c r="L37" s="256" t="s">
        <v>183</v>
      </c>
      <c r="M37" s="256"/>
      <c r="N37" s="256"/>
      <c r="O37" s="255">
        <v>0</v>
      </c>
      <c r="P37" s="255">
        <v>0</v>
      </c>
      <c r="Q37" s="38"/>
      <c r="T37" s="647"/>
      <c r="U37" s="647"/>
    </row>
    <row r="38" spans="1:22" ht="15" customHeight="1" x14ac:dyDescent="0.2">
      <c r="A38" s="98"/>
      <c r="B38" s="41"/>
      <c r="C38" s="257"/>
      <c r="D38" s="786" t="s">
        <v>93</v>
      </c>
      <c r="E38" s="786"/>
      <c r="F38" s="786"/>
      <c r="G38" s="47">
        <f>+'Estado de Actividades'!I24</f>
        <v>8863827559.5200005</v>
      </c>
      <c r="H38" s="47">
        <f>+'Estado de Actividades'!J24</f>
        <v>4935163129.4799995</v>
      </c>
      <c r="I38" s="41"/>
      <c r="J38" s="41"/>
      <c r="K38" s="257"/>
      <c r="L38" s="787" t="s">
        <v>203</v>
      </c>
      <c r="M38" s="787"/>
      <c r="N38" s="787"/>
      <c r="O38" s="255">
        <f>+'Edo de Cambios en la Sit Fin'!F25+'Edo de Cambios en la Sit Fin'!F26+'Edo de Cambios en la Sit Fin'!K22+'Edo de Cambios en la Sit Fin'!F28</f>
        <v>304880511.19999999</v>
      </c>
      <c r="P38" s="255">
        <v>140968691.71999997</v>
      </c>
      <c r="Q38" s="38"/>
      <c r="R38" s="360"/>
      <c r="T38" s="653">
        <f>3209991100.2-2125243095.78</f>
        <v>1084748004.4199998</v>
      </c>
      <c r="U38" s="647">
        <f>2872981982-1684019344</f>
        <v>1188962638</v>
      </c>
      <c r="V38" s="654">
        <f>+U38-T38</f>
        <v>104214633.58000016</v>
      </c>
    </row>
    <row r="39" spans="1:22" ht="15" customHeight="1" x14ac:dyDescent="0.2">
      <c r="A39" s="98"/>
      <c r="B39" s="41"/>
      <c r="C39" s="257"/>
      <c r="D39" s="786" t="s">
        <v>182</v>
      </c>
      <c r="E39" s="786"/>
      <c r="F39" s="786"/>
      <c r="G39" s="47">
        <f>+'Estado de Actividades'!I25</f>
        <v>322558595.81</v>
      </c>
      <c r="H39" s="47">
        <f>+'Estado de Actividades'!J25</f>
        <v>679789780.84000003</v>
      </c>
      <c r="I39" s="41"/>
      <c r="J39" s="41"/>
      <c r="K39" s="252"/>
      <c r="Q39" s="38"/>
      <c r="R39" s="360"/>
      <c r="T39" s="647"/>
      <c r="U39" s="647"/>
    </row>
    <row r="40" spans="1:22" ht="15" customHeight="1" x14ac:dyDescent="0.2">
      <c r="A40" s="98"/>
      <c r="B40" s="41"/>
      <c r="C40" s="257"/>
      <c r="D40" s="786" t="s">
        <v>184</v>
      </c>
      <c r="E40" s="786"/>
      <c r="F40" s="786"/>
      <c r="G40" s="47">
        <f>+'Estado de Actividades'!I26</f>
        <v>1968004414.01</v>
      </c>
      <c r="H40" s="47">
        <f>+'Estado de Actividades'!J26</f>
        <v>1277902648.6600001</v>
      </c>
      <c r="I40" s="41"/>
      <c r="J40" s="41"/>
      <c r="K40" s="257" t="s">
        <v>68</v>
      </c>
      <c r="L40" s="257"/>
      <c r="M40" s="257"/>
      <c r="N40" s="257"/>
      <c r="O40" s="254">
        <f>O41+O44</f>
        <v>1860637400.1699963</v>
      </c>
      <c r="P40" s="254">
        <f>P41+P44</f>
        <v>3963886598.840004</v>
      </c>
      <c r="Q40" s="38"/>
      <c r="R40" s="360"/>
      <c r="T40" s="647"/>
      <c r="U40" s="647"/>
    </row>
    <row r="41" spans="1:22" ht="15" customHeight="1" x14ac:dyDescent="0.2">
      <c r="A41" s="98"/>
      <c r="B41" s="41"/>
      <c r="C41" s="257"/>
      <c r="D41" s="786" t="s">
        <v>98</v>
      </c>
      <c r="E41" s="786"/>
      <c r="F41" s="786"/>
      <c r="G41" s="47">
        <f>+'Estado de Actividades'!I27</f>
        <v>2625729336.27</v>
      </c>
      <c r="H41" s="47">
        <f>+'Estado de Actividades'!J27</f>
        <v>5526821246.9300003</v>
      </c>
      <c r="I41" s="41"/>
      <c r="J41" s="41"/>
      <c r="K41" s="19"/>
      <c r="L41" s="256" t="s">
        <v>185</v>
      </c>
      <c r="M41" s="256"/>
      <c r="N41" s="256"/>
      <c r="O41" s="255">
        <f>SUM(O42:O43)</f>
        <v>1019785411.5899963</v>
      </c>
      <c r="P41" s="255">
        <v>0</v>
      </c>
      <c r="Q41" s="38"/>
      <c r="T41" s="647"/>
      <c r="U41" s="647"/>
    </row>
    <row r="42" spans="1:22" ht="15" customHeight="1" x14ac:dyDescent="0.2">
      <c r="A42" s="98"/>
      <c r="B42" s="41"/>
      <c r="C42" s="257"/>
      <c r="D42" s="786" t="s">
        <v>100</v>
      </c>
      <c r="E42" s="786"/>
      <c r="F42" s="786"/>
      <c r="G42" s="47">
        <f>+'Estado de Actividades'!I28</f>
        <v>34333450.310000002</v>
      </c>
      <c r="H42" s="47">
        <f>+'Estado de Actividades'!J28</f>
        <v>33038418.969999999</v>
      </c>
      <c r="I42" s="41"/>
      <c r="J42" s="41"/>
      <c r="K42" s="257"/>
      <c r="L42" s="256" t="s">
        <v>181</v>
      </c>
      <c r="M42" s="256"/>
      <c r="N42" s="256"/>
      <c r="O42" s="255">
        <f>+'Edo de Cambios en la Sit Fin'!L26+'Edo de Cambios en la Sit Fin'!L37</f>
        <v>1019785411.5899963</v>
      </c>
      <c r="P42" s="255">
        <v>0</v>
      </c>
      <c r="Q42" s="38"/>
      <c r="T42" s="647">
        <f>42753673.32+36683829440.59</f>
        <v>36726583113.909996</v>
      </c>
      <c r="U42" s="647">
        <v>37513829441</v>
      </c>
      <c r="V42" s="654">
        <f>+U42-T42</f>
        <v>787246327.09000397</v>
      </c>
    </row>
    <row r="43" spans="1:22" ht="15" customHeight="1" x14ac:dyDescent="0.2">
      <c r="A43" s="98"/>
      <c r="B43" s="41"/>
      <c r="C43" s="257"/>
      <c r="D43" s="786" t="s">
        <v>102</v>
      </c>
      <c r="E43" s="786"/>
      <c r="F43" s="786"/>
      <c r="G43" s="47">
        <f>+'Estado de Actividades'!I29</f>
        <v>61012500</v>
      </c>
      <c r="H43" s="47">
        <f>+'Estado de Actividades'!J29</f>
        <v>57859398.43</v>
      </c>
      <c r="I43" s="41"/>
      <c r="J43" s="19"/>
      <c r="K43" s="257"/>
      <c r="L43" s="256" t="s">
        <v>183</v>
      </c>
      <c r="M43" s="256"/>
      <c r="N43" s="256"/>
      <c r="O43" s="255">
        <v>0</v>
      </c>
      <c r="P43" s="255">
        <v>0</v>
      </c>
      <c r="Q43" s="38"/>
      <c r="T43" s="647"/>
      <c r="U43" s="647"/>
    </row>
    <row r="44" spans="1:22" ht="15" customHeight="1" x14ac:dyDescent="0.2">
      <c r="A44" s="98"/>
      <c r="B44" s="41"/>
      <c r="C44" s="257"/>
      <c r="D44" s="786" t="s">
        <v>103</v>
      </c>
      <c r="E44" s="786"/>
      <c r="F44" s="786"/>
      <c r="G44" s="47">
        <f>+'Estado de Actividades'!I30</f>
        <v>0</v>
      </c>
      <c r="H44" s="47">
        <f>+'Estado de Actividades'!J30</f>
        <v>0</v>
      </c>
      <c r="I44" s="41"/>
      <c r="J44" s="41"/>
      <c r="K44" s="257"/>
      <c r="L44" s="787" t="s">
        <v>202</v>
      </c>
      <c r="M44" s="787"/>
      <c r="N44" s="787"/>
      <c r="O44" s="474">
        <f>+'Edo de Cambios en la Sit Fin'!G28+'Edo de Cambios en la Sit Fin'!G34+'Edo de Cambios en la Sit Fin'!L24+'Edo de Cambios en la Sit Fin'!L50+'Edo de Cambios en la Sit Fin'!G25</f>
        <v>840851988.57999992</v>
      </c>
      <c r="P44" s="255">
        <v>3963886598.840004</v>
      </c>
      <c r="Q44" s="38"/>
      <c r="R44" s="360"/>
      <c r="T44" s="653">
        <v>686266568.77999997</v>
      </c>
      <c r="U44" s="647">
        <v>501780868</v>
      </c>
      <c r="V44" s="654">
        <f>+U44-T44</f>
        <v>-184485700.77999997</v>
      </c>
    </row>
    <row r="45" spans="1:22" ht="15" customHeight="1" x14ac:dyDescent="0.2">
      <c r="A45" s="98"/>
      <c r="B45" s="41"/>
      <c r="C45" s="257"/>
      <c r="D45" s="786" t="s">
        <v>104</v>
      </c>
      <c r="E45" s="786"/>
      <c r="F45" s="786"/>
      <c r="G45" s="47">
        <f>+'Estado de Actividades'!I31</f>
        <v>0</v>
      </c>
      <c r="H45" s="47">
        <f>+'Estado de Actividades'!J31</f>
        <v>0</v>
      </c>
      <c r="I45" s="41"/>
      <c r="J45" s="41"/>
      <c r="K45" s="252"/>
      <c r="Q45" s="38"/>
      <c r="R45" s="360"/>
      <c r="T45" s="647">
        <f>+T38+T44</f>
        <v>1771014573.1999998</v>
      </c>
      <c r="U45" s="647">
        <f>+U38+U44</f>
        <v>1690743506</v>
      </c>
      <c r="V45" s="654">
        <f>+U45-T45</f>
        <v>-80271067.199999809</v>
      </c>
    </row>
    <row r="46" spans="1:22" ht="15" customHeight="1" x14ac:dyDescent="0.2">
      <c r="A46" s="98"/>
      <c r="B46" s="41"/>
      <c r="C46" s="257"/>
      <c r="D46" s="786" t="s">
        <v>106</v>
      </c>
      <c r="E46" s="786"/>
      <c r="F46" s="786"/>
      <c r="G46" s="47">
        <f>+'Estado de Actividades'!I32</f>
        <v>28014344.239999998</v>
      </c>
      <c r="H46" s="47">
        <f>+'Estado de Actividades'!J32</f>
        <v>23344678.43</v>
      </c>
      <c r="I46" s="41"/>
      <c r="J46" s="41"/>
      <c r="K46" s="793" t="s">
        <v>187</v>
      </c>
      <c r="L46" s="793"/>
      <c r="M46" s="793"/>
      <c r="N46" s="793"/>
      <c r="O46" s="254">
        <f>O34-O40</f>
        <v>-1555756888.9699962</v>
      </c>
      <c r="P46" s="254">
        <f>P34-P40</f>
        <v>-577597949.42000723</v>
      </c>
      <c r="Q46" s="38"/>
      <c r="R46" s="360"/>
      <c r="T46" s="647"/>
      <c r="U46" s="647"/>
    </row>
    <row r="47" spans="1:22" ht="15" customHeight="1" x14ac:dyDescent="0.2">
      <c r="A47" s="98"/>
      <c r="B47" s="41"/>
      <c r="C47" s="122"/>
      <c r="D47" s="41"/>
      <c r="E47" s="122"/>
      <c r="F47" s="122"/>
      <c r="G47" s="252"/>
      <c r="H47" s="252"/>
      <c r="I47" s="41"/>
      <c r="J47" s="41"/>
      <c r="Q47" s="38"/>
      <c r="T47" s="647"/>
      <c r="U47" s="647"/>
      <c r="V47" s="654">
        <f>+V44-V38</f>
        <v>-288700334.36000013</v>
      </c>
    </row>
    <row r="48" spans="1:22" ht="15" customHeight="1" x14ac:dyDescent="0.2">
      <c r="A48" s="98"/>
      <c r="B48" s="41"/>
      <c r="C48" s="257"/>
      <c r="D48" s="786" t="s">
        <v>186</v>
      </c>
      <c r="E48" s="786"/>
      <c r="F48" s="786"/>
      <c r="G48" s="47">
        <f>+'Estado de Actividades'!I35</f>
        <v>3425672710.9299998</v>
      </c>
      <c r="H48" s="47">
        <f>+'Estado de Actividades'!J35</f>
        <v>3060319530</v>
      </c>
      <c r="I48" s="41"/>
      <c r="J48" s="41"/>
      <c r="Q48" s="38"/>
      <c r="T48" s="647"/>
      <c r="U48" s="647"/>
    </row>
    <row r="49" spans="1:21" ht="30" customHeight="1" x14ac:dyDescent="0.2">
      <c r="A49" s="98"/>
      <c r="B49" s="41"/>
      <c r="C49" s="257"/>
      <c r="D49" s="786" t="s">
        <v>139</v>
      </c>
      <c r="E49" s="786"/>
      <c r="F49" s="786"/>
      <c r="G49" s="47">
        <f>+'Estado de Actividades'!I36</f>
        <v>2477456243.0300002</v>
      </c>
      <c r="H49" s="47">
        <f>+'Estado de Actividades'!J36</f>
        <v>2041544908</v>
      </c>
      <c r="I49" s="41"/>
      <c r="J49" s="789" t="s">
        <v>189</v>
      </c>
      <c r="K49" s="789"/>
      <c r="L49" s="789"/>
      <c r="M49" s="789"/>
      <c r="N49" s="789"/>
      <c r="O49" s="258">
        <f>G54+O29+O46</f>
        <v>43351409.749997377</v>
      </c>
      <c r="P49" s="258">
        <f>H54+P29+P46</f>
        <v>-270337592.85001624</v>
      </c>
      <c r="Q49" s="38"/>
      <c r="R49" s="360"/>
      <c r="S49" s="238"/>
      <c r="T49" s="647"/>
      <c r="U49" s="647"/>
    </row>
    <row r="50" spans="1:21" ht="15" customHeight="1" x14ac:dyDescent="0.2">
      <c r="A50" s="98"/>
      <c r="B50" s="41"/>
      <c r="C50" s="257"/>
      <c r="D50" s="786" t="s">
        <v>113</v>
      </c>
      <c r="E50" s="786"/>
      <c r="F50" s="786"/>
      <c r="G50" s="47">
        <f>+'Estado de Actividades'!I37</f>
        <v>295049938.23000002</v>
      </c>
      <c r="H50" s="47">
        <f>+'Estado de Actividades'!J37</f>
        <v>0</v>
      </c>
      <c r="I50" s="41"/>
      <c r="Q50" s="38"/>
      <c r="R50" s="360"/>
      <c r="S50" s="360"/>
    </row>
    <row r="51" spans="1:21" ht="15" customHeight="1" x14ac:dyDescent="0.2">
      <c r="A51" s="98"/>
      <c r="B51" s="41"/>
      <c r="C51" s="252"/>
      <c r="D51" s="252"/>
      <c r="E51" s="252"/>
      <c r="F51" s="252"/>
      <c r="G51" s="252"/>
      <c r="H51" s="252"/>
      <c r="I51" s="41"/>
      <c r="Q51" s="38"/>
      <c r="S51" s="374"/>
    </row>
    <row r="52" spans="1:21" ht="15" customHeight="1" x14ac:dyDescent="0.2">
      <c r="A52" s="98"/>
      <c r="B52" s="41"/>
      <c r="C52" s="257"/>
      <c r="D52" s="786" t="s">
        <v>199</v>
      </c>
      <c r="E52" s="786"/>
      <c r="F52" s="786"/>
      <c r="G52" s="255">
        <v>4499430053.7700005</v>
      </c>
      <c r="H52" s="255">
        <f>+'Estado de Actividades'!J39+'Estado de Actividades'!J54</f>
        <v>4347040475.6199999</v>
      </c>
      <c r="I52" s="41"/>
      <c r="P52" s="360"/>
      <c r="Q52" s="38"/>
    </row>
    <row r="53" spans="1:21" ht="15" x14ac:dyDescent="0.2">
      <c r="A53" s="98"/>
      <c r="B53" s="41"/>
      <c r="C53" s="122"/>
      <c r="D53" s="41"/>
      <c r="E53" s="122"/>
      <c r="F53" s="122"/>
      <c r="G53" s="252"/>
      <c r="H53" s="252"/>
      <c r="I53" s="41"/>
      <c r="J53" s="789" t="s">
        <v>469</v>
      </c>
      <c r="K53" s="789"/>
      <c r="L53" s="789"/>
      <c r="M53" s="789"/>
      <c r="N53" s="789"/>
      <c r="O53" s="258">
        <f>+'Edo de Cambios en la Sit Fin'!E113</f>
        <v>1692666437.73</v>
      </c>
      <c r="P53" s="419">
        <v>1963004030.5099912</v>
      </c>
      <c r="Q53" s="38"/>
      <c r="T53" s="647">
        <v>3209991100.1999998</v>
      </c>
    </row>
    <row r="54" spans="1:21" s="262" customFormat="1" ht="15" x14ac:dyDescent="0.2">
      <c r="A54" s="259"/>
      <c r="B54" s="260"/>
      <c r="C54" s="785" t="s">
        <v>188</v>
      </c>
      <c r="D54" s="785"/>
      <c r="E54" s="785"/>
      <c r="F54" s="785"/>
      <c r="G54" s="258">
        <f>G20-G33</f>
        <v>2054978217.0799866</v>
      </c>
      <c r="H54" s="258">
        <f>H20-H33</f>
        <v>838009765.70999146</v>
      </c>
      <c r="I54" s="260"/>
      <c r="J54" s="789" t="s">
        <v>468</v>
      </c>
      <c r="K54" s="789"/>
      <c r="L54" s="789"/>
      <c r="M54" s="789"/>
      <c r="N54" s="789"/>
      <c r="O54" s="258">
        <f>+O53+O49</f>
        <v>1736017847.4799974</v>
      </c>
      <c r="P54" s="258">
        <f>+P49+P53</f>
        <v>1692666437.6599751</v>
      </c>
      <c r="Q54" s="261"/>
      <c r="R54" s="655"/>
    </row>
    <row r="55" spans="1:21" s="262" customFormat="1" ht="15" x14ac:dyDescent="0.2">
      <c r="A55" s="259"/>
      <c r="B55" s="260"/>
      <c r="C55" s="257"/>
      <c r="D55" s="257"/>
      <c r="E55" s="257"/>
      <c r="F55" s="257"/>
      <c r="G55" s="258"/>
      <c r="H55" s="258"/>
      <c r="I55" s="260"/>
      <c r="O55" s="628"/>
      <c r="P55" s="628"/>
      <c r="Q55" s="261"/>
      <c r="R55" s="655"/>
    </row>
    <row r="56" spans="1:21" ht="14.25" customHeight="1" x14ac:dyDescent="0.2">
      <c r="A56" s="111"/>
      <c r="B56" s="112"/>
      <c r="C56" s="263"/>
      <c r="D56" s="263"/>
      <c r="E56" s="263"/>
      <c r="F56" s="263"/>
      <c r="G56" s="264"/>
      <c r="H56" s="264"/>
      <c r="I56" s="112"/>
      <c r="J56" s="62"/>
      <c r="K56" s="62"/>
      <c r="L56" s="62"/>
      <c r="M56" s="62"/>
      <c r="N56" s="62"/>
      <c r="O56" s="412"/>
      <c r="P56" s="412"/>
      <c r="Q56" s="64"/>
      <c r="R56" s="362"/>
    </row>
    <row r="57" spans="1:21" ht="14.25" customHeight="1" x14ac:dyDescent="0.2">
      <c r="A57" s="41"/>
      <c r="G57" s="157"/>
      <c r="I57" s="41"/>
      <c r="J57" s="41"/>
      <c r="K57" s="252"/>
      <c r="L57" s="252"/>
      <c r="M57" s="252"/>
      <c r="N57" s="252"/>
      <c r="O57" s="253"/>
      <c r="P57" s="253"/>
      <c r="Q57" s="19"/>
      <c r="S57" s="255"/>
    </row>
    <row r="58" spans="1:21" ht="6" customHeight="1" x14ac:dyDescent="0.2">
      <c r="A58" s="41"/>
      <c r="I58" s="41"/>
      <c r="J58" s="19"/>
      <c r="K58" s="19"/>
      <c r="L58" s="19"/>
      <c r="M58" s="19"/>
      <c r="N58" s="19"/>
      <c r="P58" s="19"/>
      <c r="Q58" s="19"/>
      <c r="S58" s="255"/>
    </row>
    <row r="59" spans="1:21" ht="15" customHeight="1" x14ac:dyDescent="0.2">
      <c r="A59" s="19"/>
      <c r="B59" s="49" t="s">
        <v>78</v>
      </c>
      <c r="C59" s="49"/>
      <c r="D59" s="49"/>
      <c r="E59" s="49"/>
      <c r="F59" s="49"/>
      <c r="G59" s="49"/>
      <c r="H59" s="49"/>
      <c r="I59" s="49"/>
      <c r="J59" s="49"/>
      <c r="K59" s="19"/>
      <c r="L59" s="19"/>
      <c r="M59" s="406"/>
      <c r="N59" s="347"/>
      <c r="O59" s="420"/>
      <c r="P59" s="19"/>
      <c r="Q59" s="19"/>
      <c r="R59" s="360"/>
      <c r="S59" s="255"/>
    </row>
    <row r="60" spans="1:21" ht="22.5" customHeight="1" x14ac:dyDescent="0.2">
      <c r="A60" s="19"/>
      <c r="B60" s="49"/>
      <c r="C60" s="70"/>
      <c r="D60" s="71"/>
      <c r="E60" s="71"/>
      <c r="F60" s="19"/>
      <c r="G60" s="72"/>
      <c r="H60" s="70"/>
      <c r="I60" s="71"/>
      <c r="J60" s="71"/>
      <c r="K60" s="19"/>
      <c r="L60" s="19"/>
      <c r="M60" s="347"/>
      <c r="N60" s="19"/>
      <c r="O60" s="347"/>
      <c r="P60" s="658"/>
      <c r="Q60" s="19"/>
      <c r="S60" s="255"/>
    </row>
    <row r="61" spans="1:21" ht="29.25" customHeight="1" x14ac:dyDescent="0.2">
      <c r="A61" s="19"/>
      <c r="B61" s="49"/>
      <c r="C61" s="70"/>
      <c r="D61" s="790"/>
      <c r="E61" s="790"/>
      <c r="F61" s="790"/>
      <c r="G61" s="790"/>
      <c r="H61" s="70"/>
      <c r="I61" s="71"/>
      <c r="J61" s="71"/>
      <c r="K61" s="19"/>
      <c r="L61" s="791"/>
      <c r="M61" s="792"/>
      <c r="N61" s="792"/>
      <c r="O61" s="792"/>
      <c r="P61" s="19"/>
      <c r="Q61" s="19"/>
      <c r="S61" s="255"/>
    </row>
    <row r="62" spans="1:21" ht="14.1" customHeight="1" x14ac:dyDescent="0.2">
      <c r="A62" s="19"/>
      <c r="B62" s="74"/>
      <c r="C62" s="19"/>
      <c r="D62" s="725" t="s">
        <v>403</v>
      </c>
      <c r="E62" s="725"/>
      <c r="F62" s="725"/>
      <c r="G62" s="725"/>
      <c r="H62" s="19"/>
      <c r="I62" s="75"/>
      <c r="J62" s="19"/>
      <c r="K62" s="26"/>
      <c r="L62" s="725" t="s">
        <v>474</v>
      </c>
      <c r="M62" s="725"/>
      <c r="N62" s="725"/>
      <c r="O62" s="725"/>
      <c r="P62" s="19"/>
      <c r="Q62" s="19"/>
    </row>
    <row r="63" spans="1:21" ht="14.1" customHeight="1" x14ac:dyDescent="0.2">
      <c r="A63" s="19"/>
      <c r="B63" s="76"/>
      <c r="C63" s="19"/>
      <c r="D63" s="723" t="s">
        <v>402</v>
      </c>
      <c r="E63" s="723"/>
      <c r="F63" s="723"/>
      <c r="G63" s="723"/>
      <c r="H63" s="19"/>
      <c r="I63" s="75"/>
      <c r="J63" s="19"/>
      <c r="L63" s="723" t="s">
        <v>475</v>
      </c>
      <c r="M63" s="723"/>
      <c r="N63" s="723"/>
      <c r="O63" s="723"/>
      <c r="P63" s="19"/>
      <c r="Q63" s="19"/>
    </row>
    <row r="65" spans="15:15" x14ac:dyDescent="0.2">
      <c r="O65" s="646"/>
    </row>
    <row r="66" spans="15:15" x14ac:dyDescent="0.2">
      <c r="O66" s="646"/>
    </row>
    <row r="67" spans="15:15" x14ac:dyDescent="0.2">
      <c r="O67" s="654"/>
    </row>
    <row r="69" spans="15:15" x14ac:dyDescent="0.2">
      <c r="O69" s="659"/>
    </row>
    <row r="70" spans="15:15" x14ac:dyDescent="0.2">
      <c r="O70" s="659"/>
    </row>
  </sheetData>
  <sheetProtection formatCells="0" selectLockedCells="1"/>
  <mergeCells count="60">
    <mergeCell ref="D41:F41"/>
    <mergeCell ref="D42:F42"/>
    <mergeCell ref="D43:F43"/>
    <mergeCell ref="D44:F44"/>
    <mergeCell ref="D38:F38"/>
    <mergeCell ref="D39:F39"/>
    <mergeCell ref="D40:F40"/>
    <mergeCell ref="K46:N46"/>
    <mergeCell ref="D45:F45"/>
    <mergeCell ref="D46:F46"/>
    <mergeCell ref="D48:F48"/>
    <mergeCell ref="L44:N44"/>
    <mergeCell ref="D62:G62"/>
    <mergeCell ref="L62:O62"/>
    <mergeCell ref="D63:G63"/>
    <mergeCell ref="L63:O63"/>
    <mergeCell ref="D49:F49"/>
    <mergeCell ref="D50:F50"/>
    <mergeCell ref="D52:F52"/>
    <mergeCell ref="C54:F54"/>
    <mergeCell ref="J49:N49"/>
    <mergeCell ref="J53:N53"/>
    <mergeCell ref="J54:N54"/>
    <mergeCell ref="D61:G61"/>
    <mergeCell ref="L61:O61"/>
    <mergeCell ref="L38:N38"/>
    <mergeCell ref="J32:N32"/>
    <mergeCell ref="C33:F33"/>
    <mergeCell ref="D34:F34"/>
    <mergeCell ref="D35:F35"/>
    <mergeCell ref="D36:F36"/>
    <mergeCell ref="D29:F29"/>
    <mergeCell ref="L27:N27"/>
    <mergeCell ref="D30:F30"/>
    <mergeCell ref="L28:N28"/>
    <mergeCell ref="D31:E31"/>
    <mergeCell ref="K29:N29"/>
    <mergeCell ref="D27:F27"/>
    <mergeCell ref="D26:F26"/>
    <mergeCell ref="L23:N23"/>
    <mergeCell ref="D28:F28"/>
    <mergeCell ref="D21:F21"/>
    <mergeCell ref="D23:F23"/>
    <mergeCell ref="D24:F24"/>
    <mergeCell ref="L21:N21"/>
    <mergeCell ref="D25:F25"/>
    <mergeCell ref="L22:N22"/>
    <mergeCell ref="D22:F22"/>
    <mergeCell ref="B15:E15"/>
    <mergeCell ref="J15:M15"/>
    <mergeCell ref="B18:F18"/>
    <mergeCell ref="J18:N18"/>
    <mergeCell ref="C20:F20"/>
    <mergeCell ref="K20:N20"/>
    <mergeCell ref="E7:O7"/>
    <mergeCell ref="E8:O8"/>
    <mergeCell ref="E9:O9"/>
    <mergeCell ref="E10:O10"/>
    <mergeCell ref="B12:D12"/>
    <mergeCell ref="E12:O12"/>
  </mergeCells>
  <printOptions verticalCentered="1"/>
  <pageMargins left="0.43" right="0.48" top="0" bottom="0" header="0" footer="0"/>
  <pageSetup scale="58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Q52"/>
  <sheetViews>
    <sheetView topLeftCell="A19" zoomScale="110" zoomScaleNormal="110" workbookViewId="0">
      <selection activeCell="C62" sqref="C62:C64"/>
    </sheetView>
  </sheetViews>
  <sheetFormatPr baseColWidth="10" defaultRowHeight="14.25" x14ac:dyDescent="0.2"/>
  <cols>
    <col min="1" max="1" width="1.28515625" style="17" customWidth="1"/>
    <col min="2" max="2" width="11.7109375" style="17" customWidth="1"/>
    <col min="3" max="3" width="54.42578125" style="17" customWidth="1"/>
    <col min="4" max="4" width="19.140625" style="138" customWidth="1"/>
    <col min="5" max="5" width="19.28515625" style="17" customWidth="1"/>
    <col min="6" max="6" width="19" style="17" customWidth="1"/>
    <col min="7" max="7" width="21.28515625" style="17" customWidth="1"/>
    <col min="8" max="8" width="18.7109375" style="17" customWidth="1"/>
    <col min="9" max="9" width="1.140625" style="17" customWidth="1"/>
    <col min="10" max="11" width="11.42578125" style="17"/>
    <col min="12" max="12" width="25.85546875" style="17" bestFit="1" customWidth="1"/>
    <col min="13" max="13" width="24.85546875" style="17" bestFit="1" customWidth="1"/>
    <col min="14" max="16384" width="11.42578125" style="17"/>
  </cols>
  <sheetData>
    <row r="7" spans="1:13" s="19" customFormat="1" ht="6" customHeight="1" x14ac:dyDescent="0.2">
      <c r="B7" s="41"/>
      <c r="C7" s="794"/>
      <c r="D7" s="794"/>
      <c r="E7" s="794"/>
      <c r="F7" s="795"/>
      <c r="G7" s="795"/>
      <c r="H7" s="795"/>
      <c r="I7" s="139"/>
      <c r="J7" s="26"/>
      <c r="K7" s="26"/>
    </row>
    <row r="8" spans="1:13" s="19" customFormat="1" ht="6" customHeight="1" x14ac:dyDescent="0.2">
      <c r="B8" s="41"/>
    </row>
    <row r="9" spans="1:13" s="19" customFormat="1" ht="14.1" customHeight="1" x14ac:dyDescent="0.25">
      <c r="B9" s="87"/>
      <c r="C9" s="718" t="s">
        <v>795</v>
      </c>
      <c r="D9" s="718"/>
      <c r="E9" s="718"/>
      <c r="F9" s="718"/>
      <c r="G9" s="718"/>
      <c r="H9" s="87"/>
      <c r="I9" s="87"/>
      <c r="J9" s="17"/>
      <c r="K9" s="17"/>
    </row>
    <row r="10" spans="1:13" s="19" customFormat="1" ht="14.1" customHeight="1" x14ac:dyDescent="0.25">
      <c r="B10" s="87"/>
      <c r="C10" s="718" t="s">
        <v>144</v>
      </c>
      <c r="D10" s="718"/>
      <c r="E10" s="718"/>
      <c r="F10" s="718"/>
      <c r="G10" s="718"/>
      <c r="H10" s="87"/>
      <c r="I10" s="87"/>
      <c r="J10" s="17"/>
      <c r="K10" s="17"/>
    </row>
    <row r="11" spans="1:13" s="19" customFormat="1" ht="14.1" customHeight="1" x14ac:dyDescent="0.25">
      <c r="B11" s="87"/>
      <c r="C11" s="718" t="str">
        <f>+'Edo Variacion Hacienda Publica'!C11:G11</f>
        <v>Del 1 de enero al 31 de diciembre de 2016</v>
      </c>
      <c r="D11" s="718"/>
      <c r="E11" s="718"/>
      <c r="F11" s="718"/>
      <c r="G11" s="718"/>
      <c r="H11" s="87"/>
      <c r="I11" s="87"/>
      <c r="J11" s="17"/>
      <c r="K11" s="17"/>
    </row>
    <row r="12" spans="1:13" s="19" customFormat="1" ht="14.1" customHeight="1" x14ac:dyDescent="0.25">
      <c r="B12" s="87"/>
      <c r="C12" s="718" t="s">
        <v>1</v>
      </c>
      <c r="D12" s="718"/>
      <c r="E12" s="718"/>
      <c r="F12" s="718"/>
      <c r="G12" s="718"/>
      <c r="H12" s="87"/>
      <c r="I12" s="87"/>
      <c r="J12" s="17"/>
      <c r="K12" s="17"/>
    </row>
    <row r="13" spans="1:13" s="19" customFormat="1" ht="20.100000000000001" customHeight="1" x14ac:dyDescent="0.25">
      <c r="A13" s="89"/>
      <c r="B13" s="24"/>
      <c r="C13" s="797" t="s">
        <v>388</v>
      </c>
      <c r="D13" s="797"/>
      <c r="E13" s="797"/>
      <c r="F13" s="797"/>
      <c r="G13" s="797"/>
      <c r="H13" s="718"/>
      <c r="I13" s="718"/>
      <c r="J13" s="140"/>
      <c r="K13" s="140"/>
      <c r="L13" s="140"/>
      <c r="M13" s="140"/>
    </row>
    <row r="14" spans="1:13" s="19" customFormat="1" ht="6.75" customHeight="1" x14ac:dyDescent="0.2">
      <c r="A14" s="719"/>
      <c r="B14" s="719"/>
      <c r="C14" s="719"/>
      <c r="D14" s="719"/>
      <c r="E14" s="719"/>
      <c r="F14" s="719"/>
      <c r="G14" s="719"/>
      <c r="H14" s="719"/>
      <c r="I14" s="719"/>
    </row>
    <row r="15" spans="1:13" s="19" customFormat="1" ht="3" customHeight="1" x14ac:dyDescent="0.2">
      <c r="A15" s="719"/>
      <c r="B15" s="719"/>
      <c r="C15" s="719"/>
      <c r="D15" s="719"/>
      <c r="E15" s="719"/>
      <c r="F15" s="719"/>
      <c r="G15" s="719"/>
      <c r="H15" s="719"/>
      <c r="I15" s="719"/>
    </row>
    <row r="16" spans="1:13" s="145" customFormat="1" ht="30" x14ac:dyDescent="0.25">
      <c r="A16" s="141"/>
      <c r="B16" s="798" t="s">
        <v>76</v>
      </c>
      <c r="C16" s="798"/>
      <c r="D16" s="142" t="s">
        <v>145</v>
      </c>
      <c r="E16" s="142" t="s">
        <v>146</v>
      </c>
      <c r="F16" s="143" t="s">
        <v>147</v>
      </c>
      <c r="G16" s="143" t="s">
        <v>148</v>
      </c>
      <c r="H16" s="143" t="s">
        <v>149</v>
      </c>
      <c r="I16" s="144"/>
    </row>
    <row r="17" spans="1:13" s="145" customFormat="1" ht="15" x14ac:dyDescent="0.25">
      <c r="A17" s="146"/>
      <c r="B17" s="799"/>
      <c r="C17" s="799"/>
      <c r="D17" s="147">
        <v>1</v>
      </c>
      <c r="E17" s="147">
        <v>2</v>
      </c>
      <c r="F17" s="148">
        <v>3</v>
      </c>
      <c r="G17" s="148" t="s">
        <v>150</v>
      </c>
      <c r="H17" s="148" t="s">
        <v>151</v>
      </c>
      <c r="I17" s="149"/>
    </row>
    <row r="18" spans="1:13" s="19" customFormat="1" ht="3" customHeight="1" x14ac:dyDescent="0.2">
      <c r="A18" s="800"/>
      <c r="B18" s="719"/>
      <c r="C18" s="719"/>
      <c r="D18" s="719"/>
      <c r="E18" s="719"/>
      <c r="F18" s="719"/>
      <c r="G18" s="719"/>
      <c r="H18" s="719"/>
      <c r="I18" s="801"/>
    </row>
    <row r="19" spans="1:13" s="19" customFormat="1" ht="3" customHeight="1" x14ac:dyDescent="0.2">
      <c r="A19" s="802"/>
      <c r="B19" s="803"/>
      <c r="C19" s="803"/>
      <c r="D19" s="803"/>
      <c r="E19" s="803"/>
      <c r="F19" s="803"/>
      <c r="G19" s="803"/>
      <c r="H19" s="803"/>
      <c r="I19" s="804"/>
      <c r="J19" s="17"/>
      <c r="K19" s="17"/>
    </row>
    <row r="20" spans="1:13" s="19" customFormat="1" ht="15" x14ac:dyDescent="0.2">
      <c r="A20" s="103"/>
      <c r="B20" s="805" t="s">
        <v>6</v>
      </c>
      <c r="C20" s="805"/>
      <c r="D20" s="150">
        <f>+D22+D32</f>
        <v>23756281377.390003</v>
      </c>
      <c r="E20" s="150">
        <f>+E22+E32</f>
        <v>122018492138.73999</v>
      </c>
      <c r="F20" s="150">
        <f>+F22+F32</f>
        <v>103347936257.89999</v>
      </c>
      <c r="G20" s="150">
        <f t="shared" ref="G20:H20" si="0">+G22+G32</f>
        <v>42426837258.230003</v>
      </c>
      <c r="H20" s="150">
        <f t="shared" si="0"/>
        <v>18670555880.84</v>
      </c>
      <c r="I20" s="151"/>
      <c r="J20" s="17"/>
      <c r="K20" s="17"/>
    </row>
    <row r="21" spans="1:13" s="19" customFormat="1" ht="5.0999999999999996" customHeight="1" x14ac:dyDescent="0.2">
      <c r="A21" s="103"/>
      <c r="B21" s="152"/>
      <c r="C21" s="152"/>
      <c r="D21" s="150"/>
      <c r="E21" s="150"/>
      <c r="F21" s="150"/>
      <c r="G21" s="150"/>
      <c r="H21" s="150"/>
      <c r="I21" s="151"/>
      <c r="J21" s="17"/>
      <c r="K21" s="17"/>
    </row>
    <row r="22" spans="1:13" s="19" customFormat="1" ht="15" x14ac:dyDescent="0.2">
      <c r="A22" s="153"/>
      <c r="B22" s="722" t="s">
        <v>8</v>
      </c>
      <c r="C22" s="722"/>
      <c r="D22" s="154">
        <f>SUM(D24:D30)</f>
        <v>2604085829.4400001</v>
      </c>
      <c r="E22" s="154">
        <f>SUM(E24:E30)</f>
        <v>89359686289.899994</v>
      </c>
      <c r="F22" s="154">
        <f>SUM(F24:F30)</f>
        <v>89123744692.419998</v>
      </c>
      <c r="G22" s="154">
        <f>D22+E22-F22</f>
        <v>2840027426.9199982</v>
      </c>
      <c r="H22" s="154">
        <f>G22-D22</f>
        <v>235941597.47999811</v>
      </c>
      <c r="I22" s="155"/>
      <c r="J22" s="17"/>
      <c r="K22" s="156"/>
    </row>
    <row r="23" spans="1:13" s="19" customFormat="1" ht="5.0999999999999996" customHeight="1" x14ac:dyDescent="0.2">
      <c r="A23" s="98"/>
      <c r="B23" s="41"/>
      <c r="C23" s="41"/>
      <c r="D23" s="157"/>
      <c r="E23" s="157"/>
      <c r="F23" s="157"/>
      <c r="G23" s="157"/>
      <c r="H23" s="157"/>
      <c r="I23" s="45"/>
      <c r="J23" s="17"/>
      <c r="K23" s="156"/>
    </row>
    <row r="24" spans="1:13" s="19" customFormat="1" ht="19.5" customHeight="1" x14ac:dyDescent="0.2">
      <c r="A24" s="98"/>
      <c r="B24" s="796" t="s">
        <v>10</v>
      </c>
      <c r="C24" s="796"/>
      <c r="D24" s="47">
        <v>1692666437.73</v>
      </c>
      <c r="E24" s="47">
        <v>77845904753.429993</v>
      </c>
      <c r="F24" s="47">
        <v>77802553343.699997</v>
      </c>
      <c r="G24" s="47">
        <f>+D24+E24-F24</f>
        <v>1736017847.4599915</v>
      </c>
      <c r="H24" s="102">
        <f>+G24-D24</f>
        <v>43351409.729991436</v>
      </c>
      <c r="I24" s="45"/>
      <c r="J24" s="17"/>
      <c r="K24" s="458" t="str">
        <f>IF(G24='Estado de Situacion Financiera'!D24," ","Error")</f>
        <v>Error</v>
      </c>
      <c r="L24" s="347"/>
      <c r="M24" s="407"/>
    </row>
    <row r="25" spans="1:13" s="19" customFormat="1" ht="19.5" customHeight="1" x14ac:dyDescent="0.2">
      <c r="A25" s="98"/>
      <c r="B25" s="796" t="s">
        <v>12</v>
      </c>
      <c r="C25" s="796"/>
      <c r="D25" s="630">
        <v>877621814</v>
      </c>
      <c r="E25" s="47">
        <v>11400663618.51</v>
      </c>
      <c r="F25" s="47">
        <v>11179496552.58</v>
      </c>
      <c r="G25" s="47">
        <f t="shared" ref="G25:G30" si="1">+D25+E25-F25</f>
        <v>1098788879.9300003</v>
      </c>
      <c r="H25" s="102">
        <f>+G25-D25</f>
        <v>221167065.93000031</v>
      </c>
      <c r="I25" s="45"/>
      <c r="J25" s="17"/>
      <c r="K25" s="156" t="str">
        <f>IF(G25='Estado de Situacion Financiera'!D25," ","Error")</f>
        <v xml:space="preserve"> </v>
      </c>
      <c r="L25" s="347"/>
      <c r="M25" s="660"/>
    </row>
    <row r="26" spans="1:13" s="19" customFormat="1" ht="19.5" customHeight="1" x14ac:dyDescent="0.2">
      <c r="A26" s="98"/>
      <c r="B26" s="796" t="s">
        <v>14</v>
      </c>
      <c r="C26" s="796"/>
      <c r="D26" s="47">
        <v>9102469.75</v>
      </c>
      <c r="E26" s="47">
        <v>56529369.299999997</v>
      </c>
      <c r="F26" s="47">
        <v>61513811.740000002</v>
      </c>
      <c r="G26" s="47">
        <f t="shared" si="1"/>
        <v>4118027.3099999949</v>
      </c>
      <c r="H26" s="102">
        <f t="shared" ref="H26:H29" si="2">+G26-D26</f>
        <v>-4984442.4400000051</v>
      </c>
      <c r="I26" s="45"/>
      <c r="J26" s="17"/>
      <c r="K26" s="156" t="str">
        <f>IF(G26='Estado de Situacion Financiera'!D26," ","Error")</f>
        <v>Error</v>
      </c>
      <c r="L26" s="347"/>
      <c r="M26" s="451"/>
    </row>
    <row r="27" spans="1:13" s="19" customFormat="1" ht="19.5" customHeight="1" x14ac:dyDescent="0.2">
      <c r="A27" s="98"/>
      <c r="B27" s="796" t="s">
        <v>16</v>
      </c>
      <c r="C27" s="796"/>
      <c r="D27" s="47">
        <v>0</v>
      </c>
      <c r="E27" s="47">
        <v>0</v>
      </c>
      <c r="F27" s="47">
        <v>0</v>
      </c>
      <c r="G27" s="47">
        <f t="shared" si="1"/>
        <v>0</v>
      </c>
      <c r="H27" s="102">
        <f t="shared" si="2"/>
        <v>0</v>
      </c>
      <c r="I27" s="45"/>
      <c r="J27" s="17"/>
      <c r="K27" s="156" t="str">
        <f>IF(G27='Estado de Situacion Financiera'!D27," ","Error")</f>
        <v xml:space="preserve"> </v>
      </c>
      <c r="L27" s="347"/>
      <c r="M27" s="407"/>
    </row>
    <row r="28" spans="1:13" s="19" customFormat="1" ht="19.5" customHeight="1" x14ac:dyDescent="0.2">
      <c r="A28" s="98"/>
      <c r="B28" s="796" t="s">
        <v>18</v>
      </c>
      <c r="C28" s="796"/>
      <c r="D28" s="47">
        <v>24695107.960000001</v>
      </c>
      <c r="E28" s="47">
        <v>56588548.659999996</v>
      </c>
      <c r="F28" s="47">
        <v>80180984.400000006</v>
      </c>
      <c r="G28" s="47">
        <f t="shared" si="1"/>
        <v>1102672.2199999988</v>
      </c>
      <c r="H28" s="102">
        <f t="shared" si="2"/>
        <v>-23592435.740000002</v>
      </c>
      <c r="I28" s="45"/>
      <c r="J28" s="17"/>
      <c r="K28" s="156" t="str">
        <f>IF(G28='Estado de Situacion Financiera'!D28," ","Error")</f>
        <v xml:space="preserve"> </v>
      </c>
      <c r="L28" s="347"/>
      <c r="M28" s="407"/>
    </row>
    <row r="29" spans="1:13" s="19" customFormat="1" ht="19.5" customHeight="1" x14ac:dyDescent="0.2">
      <c r="A29" s="98"/>
      <c r="B29" s="796" t="s">
        <v>20</v>
      </c>
      <c r="C29" s="796"/>
      <c r="D29" s="47">
        <v>0</v>
      </c>
      <c r="E29" s="47">
        <v>0</v>
      </c>
      <c r="F29" s="47">
        <v>0</v>
      </c>
      <c r="G29" s="47">
        <f t="shared" si="1"/>
        <v>0</v>
      </c>
      <c r="H29" s="102">
        <f t="shared" si="2"/>
        <v>0</v>
      </c>
      <c r="I29" s="45"/>
      <c r="J29" s="17"/>
      <c r="K29" s="156" t="str">
        <f>IF(G29='Estado de Situacion Financiera'!D29," ","Error")</f>
        <v xml:space="preserve"> </v>
      </c>
      <c r="L29" s="347"/>
      <c r="M29" s="407"/>
    </row>
    <row r="30" spans="1:13" ht="19.5" customHeight="1" x14ac:dyDescent="0.2">
      <c r="A30" s="98"/>
      <c r="B30" s="796" t="s">
        <v>22</v>
      </c>
      <c r="C30" s="796"/>
      <c r="D30" s="47">
        <v>0</v>
      </c>
      <c r="E30" s="47">
        <v>0</v>
      </c>
      <c r="F30" s="47">
        <v>0</v>
      </c>
      <c r="G30" s="47">
        <f t="shared" si="1"/>
        <v>0</v>
      </c>
      <c r="H30" s="102">
        <f t="shared" ref="H30" si="3">G30-D30</f>
        <v>0</v>
      </c>
      <c r="I30" s="45"/>
      <c r="K30" s="156" t="str">
        <f>IF(G30='Estado de Situacion Financiera'!D30," ","Error")</f>
        <v xml:space="preserve"> </v>
      </c>
      <c r="L30" s="347"/>
      <c r="M30" s="407"/>
    </row>
    <row r="31" spans="1:13" x14ac:dyDescent="0.2">
      <c r="A31" s="98"/>
      <c r="B31" s="158"/>
      <c r="C31" s="158"/>
      <c r="D31" s="159"/>
      <c r="E31" s="159"/>
      <c r="F31" s="159"/>
      <c r="G31" s="159"/>
      <c r="H31" s="159"/>
      <c r="I31" s="45"/>
      <c r="K31" s="156"/>
      <c r="L31" s="347"/>
      <c r="M31" s="407"/>
    </row>
    <row r="32" spans="1:13" ht="15" x14ac:dyDescent="0.2">
      <c r="A32" s="153"/>
      <c r="B32" s="722" t="s">
        <v>27</v>
      </c>
      <c r="C32" s="722"/>
      <c r="D32" s="154">
        <f>SUM(D34:D42)</f>
        <v>21152195547.950005</v>
      </c>
      <c r="E32" s="154">
        <f>SUM(E34:E42)</f>
        <v>32658805848.84</v>
      </c>
      <c r="F32" s="154">
        <f>SUM(F34:F42)</f>
        <v>14224191565.480001</v>
      </c>
      <c r="G32" s="154">
        <f>D32+E32-F32</f>
        <v>39586809831.310005</v>
      </c>
      <c r="H32" s="154">
        <f>G32-D32</f>
        <v>18434614283.360001</v>
      </c>
      <c r="I32" s="155"/>
      <c r="K32" s="156"/>
      <c r="L32" s="347"/>
      <c r="M32" s="407"/>
    </row>
    <row r="33" spans="1:17" ht="5.0999999999999996" customHeight="1" x14ac:dyDescent="0.2">
      <c r="A33" s="98"/>
      <c r="B33" s="41"/>
      <c r="C33" s="158"/>
      <c r="D33" s="157"/>
      <c r="E33" s="157"/>
      <c r="F33" s="157"/>
      <c r="G33" s="157"/>
      <c r="H33" s="157"/>
      <c r="I33" s="45"/>
      <c r="K33" s="156"/>
      <c r="L33" s="347"/>
      <c r="M33" s="407"/>
    </row>
    <row r="34" spans="1:17" ht="19.5" customHeight="1" x14ac:dyDescent="0.2">
      <c r="A34" s="98"/>
      <c r="B34" s="796" t="s">
        <v>29</v>
      </c>
      <c r="C34" s="796"/>
      <c r="D34" s="157">
        <v>501780867.79000002</v>
      </c>
      <c r="E34" s="47">
        <v>9842798419.8400002</v>
      </c>
      <c r="F34" s="47">
        <v>9695709442.8400002</v>
      </c>
      <c r="G34" s="348">
        <f t="shared" ref="G34:G42" si="4">D34+E34-F34</f>
        <v>648869844.79000092</v>
      </c>
      <c r="H34" s="102">
        <f t="shared" ref="H34:H42" si="5">G34-D34</f>
        <v>147088977.00000089</v>
      </c>
      <c r="I34" s="45"/>
      <c r="K34" s="156" t="str">
        <f>IF(G34='Estado de Situacion Financiera'!D37," ","error")</f>
        <v>error</v>
      </c>
      <c r="L34" s="407"/>
      <c r="M34" s="407"/>
    </row>
    <row r="35" spans="1:17" ht="19.5" customHeight="1" x14ac:dyDescent="0.2">
      <c r="A35" s="98"/>
      <c r="B35" s="796" t="s">
        <v>31</v>
      </c>
      <c r="C35" s="796"/>
      <c r="D35" s="47">
        <v>0</v>
      </c>
      <c r="E35" s="47">
        <v>0</v>
      </c>
      <c r="F35" s="47">
        <v>0</v>
      </c>
      <c r="G35" s="102">
        <f t="shared" si="4"/>
        <v>0</v>
      </c>
      <c r="H35" s="102">
        <f t="shared" si="5"/>
        <v>0</v>
      </c>
      <c r="I35" s="45"/>
      <c r="K35" s="156" t="str">
        <f>IF(G35='Estado de Situacion Financiera'!D38," ","error")</f>
        <v xml:space="preserve"> </v>
      </c>
      <c r="L35" s="347"/>
      <c r="M35" s="407"/>
    </row>
    <row r="36" spans="1:17" ht="19.5" customHeight="1" x14ac:dyDescent="0.2">
      <c r="A36" s="98"/>
      <c r="B36" s="796" t="s">
        <v>33</v>
      </c>
      <c r="C36" s="796"/>
      <c r="D36" s="47">
        <v>17855756003.700001</v>
      </c>
      <c r="E36" s="47">
        <f>37669352978.13-15117825129.6</f>
        <v>22551527848.529999</v>
      </c>
      <c r="F36" s="47">
        <f>19599271417.56-15117825129.6</f>
        <v>4481446287.960001</v>
      </c>
      <c r="G36" s="102">
        <f t="shared" si="4"/>
        <v>35925837564.269997</v>
      </c>
      <c r="H36" s="102">
        <f t="shared" si="5"/>
        <v>18070081560.569996</v>
      </c>
      <c r="I36" s="45"/>
      <c r="K36" s="156" t="str">
        <f>IF(G36='Estado de Situacion Financiera'!D39," ","error")</f>
        <v xml:space="preserve"> </v>
      </c>
      <c r="L36" s="347"/>
      <c r="M36" s="459"/>
    </row>
    <row r="37" spans="1:17" ht="19.5" customHeight="1" x14ac:dyDescent="0.2">
      <c r="A37" s="98"/>
      <c r="B37" s="796" t="s">
        <v>152</v>
      </c>
      <c r="C37" s="796"/>
      <c r="D37" s="47">
        <v>2758724707.4000001</v>
      </c>
      <c r="E37" s="47">
        <v>255747122.56</v>
      </c>
      <c r="F37" s="47">
        <v>44550930.32</v>
      </c>
      <c r="G37" s="102">
        <f t="shared" si="4"/>
        <v>2969920899.6399999</v>
      </c>
      <c r="H37" s="102">
        <f t="shared" si="5"/>
        <v>211196192.23999977</v>
      </c>
      <c r="I37" s="45"/>
      <c r="K37" s="156" t="str">
        <f>IF(G37='Estado de Situacion Financiera'!D40," ","error")</f>
        <v xml:space="preserve"> </v>
      </c>
      <c r="L37" s="451"/>
      <c r="M37" s="459"/>
    </row>
    <row r="38" spans="1:17" ht="19.5" customHeight="1" x14ac:dyDescent="0.2">
      <c r="A38" s="98"/>
      <c r="B38" s="796" t="s">
        <v>37</v>
      </c>
      <c r="C38" s="796"/>
      <c r="D38" s="47">
        <v>35933969.060000002</v>
      </c>
      <c r="E38" s="47">
        <v>8732457.9100000001</v>
      </c>
      <c r="F38" s="47">
        <v>2484904.36</v>
      </c>
      <c r="G38" s="102">
        <f t="shared" si="4"/>
        <v>42181522.609999999</v>
      </c>
      <c r="H38" s="102">
        <f t="shared" si="5"/>
        <v>6247553.549999997</v>
      </c>
      <c r="I38" s="45"/>
      <c r="K38" s="156" t="str">
        <f>IF(G38='Estado de Situacion Financiera'!D41," ","error")</f>
        <v xml:space="preserve"> </v>
      </c>
      <c r="L38" s="451"/>
      <c r="M38" s="459"/>
    </row>
    <row r="39" spans="1:17" ht="19.5" customHeight="1" x14ac:dyDescent="0.2">
      <c r="A39" s="98"/>
      <c r="B39" s="796" t="s">
        <v>39</v>
      </c>
      <c r="C39" s="796"/>
      <c r="D39" s="47">
        <v>0</v>
      </c>
      <c r="E39" s="47">
        <v>0</v>
      </c>
      <c r="F39" s="47">
        <v>0</v>
      </c>
      <c r="G39" s="102">
        <f t="shared" si="4"/>
        <v>0</v>
      </c>
      <c r="H39" s="102">
        <f t="shared" si="5"/>
        <v>0</v>
      </c>
      <c r="I39" s="45"/>
      <c r="K39" s="156" t="str">
        <f>IF(G39='Estado de Situacion Financiera'!D42," ","error")</f>
        <v xml:space="preserve"> </v>
      </c>
      <c r="L39" s="347"/>
    </row>
    <row r="40" spans="1:17" ht="19.5" customHeight="1" x14ac:dyDescent="0.2">
      <c r="A40" s="98"/>
      <c r="B40" s="796" t="s">
        <v>41</v>
      </c>
      <c r="C40" s="796"/>
      <c r="D40" s="47">
        <f>+'Estado de Situacion Financiera'!E43</f>
        <v>0</v>
      </c>
      <c r="E40" s="47">
        <v>0</v>
      </c>
      <c r="F40" s="47">
        <v>0</v>
      </c>
      <c r="G40" s="102">
        <f t="shared" si="4"/>
        <v>0</v>
      </c>
      <c r="H40" s="102">
        <f t="shared" si="5"/>
        <v>0</v>
      </c>
      <c r="I40" s="45"/>
      <c r="K40" s="156" t="str">
        <f>IF(G40='Estado de Situacion Financiera'!D43," ","error")</f>
        <v xml:space="preserve"> </v>
      </c>
      <c r="L40" s="347"/>
    </row>
    <row r="41" spans="1:17" ht="19.5" customHeight="1" x14ac:dyDescent="0.2">
      <c r="A41" s="98"/>
      <c r="B41" s="796" t="s">
        <v>42</v>
      </c>
      <c r="C41" s="796"/>
      <c r="D41" s="47">
        <f>+'Estado de Situacion Financiera'!E44</f>
        <v>0</v>
      </c>
      <c r="E41" s="47">
        <v>0</v>
      </c>
      <c r="F41" s="47">
        <v>0</v>
      </c>
      <c r="G41" s="102">
        <f t="shared" si="4"/>
        <v>0</v>
      </c>
      <c r="H41" s="102">
        <f t="shared" si="5"/>
        <v>0</v>
      </c>
      <c r="I41" s="45"/>
      <c r="K41" s="156" t="str">
        <f>IF(G41='Estado de Situacion Financiera'!D44," ","error")</f>
        <v xml:space="preserve"> </v>
      </c>
    </row>
    <row r="42" spans="1:17" ht="19.5" customHeight="1" x14ac:dyDescent="0.2">
      <c r="A42" s="98"/>
      <c r="B42" s="796" t="s">
        <v>44</v>
      </c>
      <c r="C42" s="796"/>
      <c r="D42" s="47">
        <f>+'Estado de Situacion Financiera'!E45</f>
        <v>0</v>
      </c>
      <c r="E42" s="47">
        <v>0</v>
      </c>
      <c r="F42" s="47">
        <v>0</v>
      </c>
      <c r="G42" s="102">
        <f t="shared" si="4"/>
        <v>0</v>
      </c>
      <c r="H42" s="102">
        <f t="shared" si="5"/>
        <v>0</v>
      </c>
      <c r="I42" s="45"/>
      <c r="K42" s="156" t="str">
        <f>IF(G42='Estado de Situacion Financiera'!D45," ","error")</f>
        <v xml:space="preserve"> </v>
      </c>
    </row>
    <row r="43" spans="1:17" x14ac:dyDescent="0.2">
      <c r="A43" s="98"/>
      <c r="B43" s="158"/>
      <c r="C43" s="158"/>
      <c r="D43" s="159"/>
      <c r="E43" s="157"/>
      <c r="F43" s="157"/>
      <c r="G43" s="157"/>
      <c r="H43" s="157"/>
      <c r="I43" s="45"/>
      <c r="K43" s="156"/>
    </row>
    <row r="44" spans="1:17" ht="6" customHeight="1" x14ac:dyDescent="0.2">
      <c r="A44" s="806"/>
      <c r="B44" s="807"/>
      <c r="C44" s="807"/>
      <c r="D44" s="807"/>
      <c r="E44" s="807"/>
      <c r="F44" s="807"/>
      <c r="G44" s="807"/>
      <c r="H44" s="807"/>
      <c r="I44" s="808"/>
    </row>
    <row r="45" spans="1:17" ht="6" customHeight="1" x14ac:dyDescent="0.2">
      <c r="A45" s="18"/>
      <c r="B45" s="160"/>
      <c r="C45" s="161"/>
      <c r="E45" s="18"/>
      <c r="F45" s="18"/>
      <c r="G45" s="18"/>
      <c r="H45" s="18"/>
      <c r="I45" s="18"/>
    </row>
    <row r="46" spans="1:17" ht="15" customHeight="1" x14ac:dyDescent="0.2">
      <c r="A46" s="19"/>
      <c r="B46" s="717" t="s">
        <v>78</v>
      </c>
      <c r="C46" s="717"/>
      <c r="D46" s="717"/>
      <c r="E46" s="717"/>
      <c r="F46" s="717"/>
      <c r="G46" s="717"/>
      <c r="H46" s="717"/>
      <c r="I46" s="49"/>
      <c r="J46" s="49"/>
      <c r="K46" s="19"/>
      <c r="L46" s="19"/>
      <c r="M46" s="19"/>
      <c r="N46" s="19"/>
      <c r="O46" s="19"/>
      <c r="P46" s="19"/>
      <c r="Q46" s="19"/>
    </row>
    <row r="47" spans="1:17" ht="9.75" customHeight="1" x14ac:dyDescent="0.2">
      <c r="A47" s="19"/>
      <c r="B47" s="49"/>
      <c r="C47" s="70"/>
      <c r="D47" s="71"/>
      <c r="E47" s="71"/>
      <c r="F47" s="19"/>
      <c r="G47" s="72"/>
      <c r="H47" s="70"/>
      <c r="I47" s="71"/>
      <c r="J47" s="71"/>
      <c r="K47" s="19"/>
      <c r="L47" s="19"/>
      <c r="M47" s="19"/>
      <c r="N47" s="19"/>
      <c r="O47" s="19"/>
      <c r="P47" s="19"/>
      <c r="Q47" s="19"/>
    </row>
    <row r="48" spans="1:17" ht="50.1" customHeight="1" x14ac:dyDescent="0.2">
      <c r="A48" s="19"/>
      <c r="B48" s="809"/>
      <c r="C48" s="809"/>
      <c r="D48" s="71"/>
      <c r="E48" s="792"/>
      <c r="F48" s="792"/>
      <c r="G48" s="792"/>
      <c r="H48" s="792"/>
      <c r="I48" s="71"/>
      <c r="J48" s="71"/>
      <c r="K48" s="19"/>
      <c r="L48" s="19"/>
      <c r="M48" s="19"/>
      <c r="N48" s="19"/>
      <c r="O48" s="19"/>
      <c r="P48" s="19"/>
      <c r="Q48" s="19"/>
    </row>
    <row r="49" spans="1:17" ht="14.1" customHeight="1" x14ac:dyDescent="0.2">
      <c r="A49" s="19"/>
      <c r="B49" s="725" t="s">
        <v>403</v>
      </c>
      <c r="C49" s="725"/>
      <c r="D49" s="26"/>
      <c r="E49" s="725" t="s">
        <v>474</v>
      </c>
      <c r="F49" s="725"/>
      <c r="G49" s="725"/>
      <c r="H49" s="725"/>
      <c r="I49" s="75"/>
      <c r="J49" s="19"/>
      <c r="P49" s="19"/>
      <c r="Q49" s="19"/>
    </row>
    <row r="50" spans="1:17" ht="14.1" customHeight="1" x14ac:dyDescent="0.2">
      <c r="A50" s="19"/>
      <c r="B50" s="723" t="s">
        <v>402</v>
      </c>
      <c r="C50" s="723"/>
      <c r="D50" s="100"/>
      <c r="E50" s="723" t="s">
        <v>475</v>
      </c>
      <c r="F50" s="723"/>
      <c r="G50" s="723"/>
      <c r="H50" s="723"/>
      <c r="I50" s="75"/>
      <c r="J50" s="19"/>
      <c r="P50" s="19"/>
      <c r="Q50" s="19"/>
    </row>
    <row r="51" spans="1:17" x14ac:dyDescent="0.2">
      <c r="B51" s="19"/>
      <c r="C51" s="19"/>
      <c r="D51" s="29"/>
      <c r="E51" s="19"/>
      <c r="F51" s="19"/>
      <c r="G51" s="19"/>
    </row>
    <row r="52" spans="1:17" x14ac:dyDescent="0.2">
      <c r="B52" s="19"/>
      <c r="C52" s="19"/>
      <c r="D52" s="29"/>
      <c r="E52" s="19"/>
      <c r="F52" s="19"/>
      <c r="G52" s="19"/>
    </row>
  </sheetData>
  <sheetProtection formatCells="0" selectLockedCells="1"/>
  <mergeCells count="40">
    <mergeCell ref="B49:C49"/>
    <mergeCell ref="E49:H49"/>
    <mergeCell ref="B50:C50"/>
    <mergeCell ref="E50:H50"/>
    <mergeCell ref="B41:C41"/>
    <mergeCell ref="B42:C42"/>
    <mergeCell ref="A44:I44"/>
    <mergeCell ref="B46:H46"/>
    <mergeCell ref="B48:C48"/>
    <mergeCell ref="E48:H48"/>
    <mergeCell ref="B40:C40"/>
    <mergeCell ref="B27:C27"/>
    <mergeCell ref="B28:C28"/>
    <mergeCell ref="B29:C29"/>
    <mergeCell ref="B30:C30"/>
    <mergeCell ref="B32:C32"/>
    <mergeCell ref="B34:C34"/>
    <mergeCell ref="B35:C35"/>
    <mergeCell ref="B36:C36"/>
    <mergeCell ref="B37:C37"/>
    <mergeCell ref="B38:C38"/>
    <mergeCell ref="B39:C39"/>
    <mergeCell ref="B26:C26"/>
    <mergeCell ref="C12:G12"/>
    <mergeCell ref="C13:G13"/>
    <mergeCell ref="A14:I14"/>
    <mergeCell ref="A15:I15"/>
    <mergeCell ref="B16:C17"/>
    <mergeCell ref="A18:I18"/>
    <mergeCell ref="A19:I19"/>
    <mergeCell ref="B20:C20"/>
    <mergeCell ref="B22:C22"/>
    <mergeCell ref="B24:C24"/>
    <mergeCell ref="B25:C25"/>
    <mergeCell ref="H13:I13"/>
    <mergeCell ref="C7:E7"/>
    <mergeCell ref="F7:H7"/>
    <mergeCell ref="C9:G9"/>
    <mergeCell ref="C10:G10"/>
    <mergeCell ref="C11:G11"/>
  </mergeCells>
  <printOptions verticalCentered="1"/>
  <pageMargins left="0.62" right="0" top="0.53" bottom="0.59055118110236227" header="0" footer="0"/>
  <pageSetup scale="7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Q87"/>
  <sheetViews>
    <sheetView zoomScaleNormal="100" workbookViewId="0">
      <selection activeCell="C62" sqref="C62:D64"/>
    </sheetView>
  </sheetViews>
  <sheetFormatPr baseColWidth="10" defaultRowHeight="14.25" x14ac:dyDescent="0.2"/>
  <cols>
    <col min="1" max="1" width="4.85546875" style="164" customWidth="1"/>
    <col min="2" max="2" width="14.5703125" style="164" customWidth="1"/>
    <col min="3" max="3" width="18.85546875" style="164" customWidth="1"/>
    <col min="4" max="4" width="21.85546875" style="164" customWidth="1"/>
    <col min="5" max="5" width="3.42578125" style="164" customWidth="1"/>
    <col min="6" max="6" width="22.28515625" style="164" customWidth="1"/>
    <col min="7" max="7" width="29.7109375" style="164" customWidth="1"/>
    <col min="8" max="8" width="20.7109375" style="164" customWidth="1"/>
    <col min="9" max="9" width="20.85546875" style="164" customWidth="1"/>
    <col min="10" max="10" width="6.42578125" style="164" customWidth="1"/>
    <col min="11" max="16384" width="11.42578125" style="166"/>
  </cols>
  <sheetData>
    <row r="7" spans="1:17" s="165" customFormat="1" ht="6" customHeight="1" x14ac:dyDescent="0.2">
      <c r="A7" s="117"/>
      <c r="B7" s="162"/>
      <c r="C7" s="83"/>
      <c r="D7" s="163"/>
      <c r="E7" s="163"/>
      <c r="F7" s="163"/>
      <c r="G7" s="163"/>
      <c r="H7" s="163"/>
      <c r="I7" s="163"/>
      <c r="J7" s="163"/>
      <c r="K7" s="164"/>
      <c r="P7" s="166"/>
      <c r="Q7" s="166"/>
    </row>
    <row r="8" spans="1:17" ht="6" customHeight="1" x14ac:dyDescent="0.2">
      <c r="A8" s="166"/>
      <c r="B8" s="167"/>
      <c r="C8" s="166"/>
      <c r="D8" s="166"/>
      <c r="E8" s="166"/>
      <c r="F8" s="166"/>
      <c r="G8" s="166"/>
      <c r="H8" s="166"/>
      <c r="I8" s="166"/>
      <c r="J8" s="166"/>
    </row>
    <row r="9" spans="1:17" ht="6" customHeight="1" x14ac:dyDescent="0.2"/>
    <row r="10" spans="1:17" ht="14.1" customHeight="1" x14ac:dyDescent="0.25">
      <c r="B10" s="168"/>
      <c r="C10" s="814" t="str">
        <f>+'Edo Analitico del Activo'!C9:G9</f>
        <v>Cuenta Pública 2016</v>
      </c>
      <c r="D10" s="814"/>
      <c r="E10" s="814"/>
      <c r="F10" s="814"/>
      <c r="G10" s="814"/>
      <c r="H10" s="814"/>
      <c r="I10" s="168"/>
      <c r="J10" s="168"/>
    </row>
    <row r="11" spans="1:17" ht="14.1" customHeight="1" x14ac:dyDescent="0.25">
      <c r="B11" s="168"/>
      <c r="C11" s="814" t="s">
        <v>153</v>
      </c>
      <c r="D11" s="814"/>
      <c r="E11" s="814"/>
      <c r="F11" s="814"/>
      <c r="G11" s="814"/>
      <c r="H11" s="814"/>
      <c r="I11" s="168"/>
      <c r="J11" s="168"/>
    </row>
    <row r="12" spans="1:17" ht="14.1" customHeight="1" x14ac:dyDescent="0.25">
      <c r="B12" s="168"/>
      <c r="C12" s="814" t="str">
        <f>+'Edo Analitico del Activo'!C11:G11</f>
        <v>Del 1 de enero al 31 de diciembre de 2016</v>
      </c>
      <c r="D12" s="814"/>
      <c r="E12" s="814"/>
      <c r="F12" s="814"/>
      <c r="G12" s="814"/>
      <c r="H12" s="814"/>
      <c r="I12" s="168"/>
      <c r="J12" s="168"/>
    </row>
    <row r="13" spans="1:17" ht="14.1" customHeight="1" x14ac:dyDescent="0.25">
      <c r="B13" s="168"/>
      <c r="C13" s="814" t="s">
        <v>1</v>
      </c>
      <c r="D13" s="814"/>
      <c r="E13" s="814"/>
      <c r="F13" s="814"/>
      <c r="G13" s="814"/>
      <c r="H13" s="814"/>
      <c r="I13" s="168"/>
      <c r="J13" s="168"/>
    </row>
    <row r="14" spans="1:17" ht="6" customHeight="1" x14ac:dyDescent="0.25">
      <c r="A14" s="169"/>
      <c r="B14" s="815"/>
      <c r="C14" s="815"/>
      <c r="D14" s="816"/>
      <c r="E14" s="816"/>
      <c r="F14" s="816"/>
      <c r="G14" s="816"/>
      <c r="H14" s="816"/>
      <c r="I14" s="816"/>
      <c r="J14" s="170"/>
    </row>
    <row r="15" spans="1:17" ht="15" customHeight="1" x14ac:dyDescent="0.25">
      <c r="A15" s="169"/>
      <c r="B15" s="171"/>
      <c r="C15" s="814" t="s">
        <v>388</v>
      </c>
      <c r="D15" s="814"/>
      <c r="E15" s="814"/>
      <c r="F15" s="814"/>
      <c r="G15" s="814"/>
      <c r="H15" s="814"/>
      <c r="I15" s="220"/>
      <c r="J15" s="170"/>
    </row>
    <row r="16" spans="1:17" ht="5.0999999999999996" customHeight="1" x14ac:dyDescent="0.2">
      <c r="A16" s="172"/>
      <c r="B16" s="817"/>
      <c r="C16" s="817"/>
      <c r="D16" s="817"/>
      <c r="E16" s="817"/>
      <c r="F16" s="817"/>
      <c r="G16" s="817"/>
      <c r="H16" s="817"/>
      <c r="I16" s="817"/>
      <c r="J16" s="817"/>
    </row>
    <row r="17" spans="1:10" ht="3" customHeight="1" x14ac:dyDescent="0.2">
      <c r="A17" s="172"/>
      <c r="B17" s="817"/>
      <c r="C17" s="817"/>
      <c r="D17" s="817"/>
      <c r="E17" s="817"/>
      <c r="F17" s="817"/>
      <c r="G17" s="817"/>
      <c r="H17" s="817"/>
      <c r="I17" s="817"/>
      <c r="J17" s="817"/>
    </row>
    <row r="18" spans="1:10" ht="30" customHeight="1" x14ac:dyDescent="0.2">
      <c r="A18" s="173"/>
      <c r="B18" s="818" t="s">
        <v>154</v>
      </c>
      <c r="C18" s="818"/>
      <c r="D18" s="818"/>
      <c r="E18" s="174"/>
      <c r="F18" s="175" t="s">
        <v>155</v>
      </c>
      <c r="G18" s="175" t="s">
        <v>156</v>
      </c>
      <c r="H18" s="174" t="s">
        <v>157</v>
      </c>
      <c r="I18" s="174" t="s">
        <v>158</v>
      </c>
      <c r="J18" s="176"/>
    </row>
    <row r="19" spans="1:10" ht="3" customHeight="1" x14ac:dyDescent="0.2">
      <c r="A19" s="177"/>
      <c r="B19" s="817"/>
      <c r="C19" s="817"/>
      <c r="D19" s="817"/>
      <c r="E19" s="817"/>
      <c r="F19" s="817"/>
      <c r="G19" s="817"/>
      <c r="H19" s="817"/>
      <c r="I19" s="817"/>
      <c r="J19" s="819"/>
    </row>
    <row r="20" spans="1:10" ht="9.9499999999999993" customHeight="1" x14ac:dyDescent="0.2">
      <c r="A20" s="178"/>
      <c r="B20" s="812"/>
      <c r="C20" s="812"/>
      <c r="D20" s="812"/>
      <c r="E20" s="812"/>
      <c r="F20" s="812"/>
      <c r="G20" s="812"/>
      <c r="H20" s="812"/>
      <c r="I20" s="812"/>
      <c r="J20" s="813"/>
    </row>
    <row r="21" spans="1:10" ht="15" x14ac:dyDescent="0.2">
      <c r="A21" s="178"/>
      <c r="B21" s="810" t="s">
        <v>159</v>
      </c>
      <c r="C21" s="810"/>
      <c r="D21" s="810"/>
      <c r="E21" s="179"/>
      <c r="F21" s="179"/>
      <c r="G21" s="179"/>
      <c r="H21" s="179"/>
      <c r="I21" s="179"/>
      <c r="J21" s="180"/>
    </row>
    <row r="22" spans="1:10" ht="15" x14ac:dyDescent="0.25">
      <c r="A22" s="181"/>
      <c r="B22" s="811" t="s">
        <v>160</v>
      </c>
      <c r="C22" s="811"/>
      <c r="D22" s="811"/>
      <c r="E22" s="182"/>
      <c r="F22" s="182"/>
      <c r="G22" s="182"/>
      <c r="H22" s="182"/>
      <c r="I22" s="182"/>
      <c r="J22" s="183"/>
    </row>
    <row r="23" spans="1:10" ht="15" x14ac:dyDescent="0.25">
      <c r="A23" s="181"/>
      <c r="B23" s="716"/>
      <c r="C23" s="716"/>
      <c r="D23" s="716"/>
      <c r="E23" s="182"/>
      <c r="F23" s="182"/>
      <c r="G23" s="182"/>
      <c r="H23" s="182"/>
      <c r="I23" s="182"/>
      <c r="J23" s="183"/>
    </row>
    <row r="24" spans="1:10" ht="15" x14ac:dyDescent="0.25">
      <c r="A24" s="181"/>
      <c r="B24" s="810" t="s">
        <v>392</v>
      </c>
      <c r="C24" s="810"/>
      <c r="D24" s="810"/>
      <c r="E24" s="182"/>
      <c r="F24" s="184"/>
      <c r="G24" s="184"/>
      <c r="H24" s="124">
        <f>SUM(H25:H35)</f>
        <v>0</v>
      </c>
      <c r="I24" s="124">
        <f>SUM(I25:I35)</f>
        <v>0</v>
      </c>
      <c r="J24" s="185"/>
    </row>
    <row r="25" spans="1:10" ht="15" x14ac:dyDescent="0.2">
      <c r="A25" s="186"/>
      <c r="B25" s="187"/>
      <c r="C25" s="820" t="s">
        <v>162</v>
      </c>
      <c r="D25" s="820"/>
      <c r="E25" s="182"/>
      <c r="F25" s="188"/>
      <c r="G25" s="188"/>
      <c r="H25" s="189"/>
      <c r="I25" s="189"/>
      <c r="J25" s="190"/>
    </row>
    <row r="26" spans="1:10" ht="15" hidden="1" x14ac:dyDescent="0.2">
      <c r="A26" s="186"/>
      <c r="B26" s="187"/>
      <c r="C26" s="821" t="s">
        <v>162</v>
      </c>
      <c r="D26" s="821"/>
      <c r="E26" s="182"/>
      <c r="F26" s="188" t="s">
        <v>404</v>
      </c>
      <c r="G26" s="349" t="s">
        <v>405</v>
      </c>
      <c r="H26" s="189">
        <v>0</v>
      </c>
      <c r="I26" s="189">
        <v>0</v>
      </c>
      <c r="J26" s="190"/>
    </row>
    <row r="27" spans="1:10" ht="15" hidden="1" x14ac:dyDescent="0.2">
      <c r="A27" s="186"/>
      <c r="B27" s="187"/>
      <c r="C27" s="821" t="s">
        <v>162</v>
      </c>
      <c r="D27" s="821"/>
      <c r="E27" s="182"/>
      <c r="F27" s="188" t="s">
        <v>404</v>
      </c>
      <c r="G27" s="349" t="s">
        <v>406</v>
      </c>
      <c r="H27" s="189">
        <v>0</v>
      </c>
      <c r="I27" s="189">
        <v>0</v>
      </c>
      <c r="J27" s="190"/>
    </row>
    <row r="28" spans="1:10" ht="15" hidden="1" x14ac:dyDescent="0.2">
      <c r="A28" s="186"/>
      <c r="B28" s="187"/>
      <c r="C28" s="821" t="s">
        <v>162</v>
      </c>
      <c r="D28" s="821"/>
      <c r="E28" s="182"/>
      <c r="F28" s="188" t="s">
        <v>404</v>
      </c>
      <c r="G28" s="349" t="s">
        <v>407</v>
      </c>
      <c r="H28" s="189">
        <v>0</v>
      </c>
      <c r="I28" s="189">
        <v>0</v>
      </c>
      <c r="J28" s="190"/>
    </row>
    <row r="29" spans="1:10" ht="15" hidden="1" x14ac:dyDescent="0.2">
      <c r="A29" s="186"/>
      <c r="B29" s="187"/>
      <c r="C29" s="821" t="s">
        <v>162</v>
      </c>
      <c r="D29" s="821"/>
      <c r="E29" s="182"/>
      <c r="F29" s="188" t="s">
        <v>404</v>
      </c>
      <c r="G29" s="349" t="s">
        <v>408</v>
      </c>
      <c r="H29" s="189">
        <v>0</v>
      </c>
      <c r="I29" s="189">
        <v>0</v>
      </c>
      <c r="J29" s="190"/>
    </row>
    <row r="30" spans="1:10" ht="15" hidden="1" x14ac:dyDescent="0.2">
      <c r="A30" s="186"/>
      <c r="B30" s="187"/>
      <c r="C30" s="821" t="s">
        <v>162</v>
      </c>
      <c r="D30" s="821"/>
      <c r="E30" s="182"/>
      <c r="F30" s="188" t="s">
        <v>404</v>
      </c>
      <c r="G30" s="349" t="s">
        <v>409</v>
      </c>
      <c r="H30" s="189">
        <v>0</v>
      </c>
      <c r="I30" s="189">
        <v>0</v>
      </c>
      <c r="J30" s="190"/>
    </row>
    <row r="31" spans="1:10" ht="15" hidden="1" x14ac:dyDescent="0.2">
      <c r="A31" s="186"/>
      <c r="B31" s="187"/>
      <c r="C31" s="821" t="s">
        <v>162</v>
      </c>
      <c r="D31" s="821"/>
      <c r="E31" s="182"/>
      <c r="F31" s="188" t="s">
        <v>404</v>
      </c>
      <c r="G31" s="349" t="s">
        <v>410</v>
      </c>
      <c r="H31" s="189">
        <v>0</v>
      </c>
      <c r="I31" s="189">
        <v>0</v>
      </c>
      <c r="J31" s="190"/>
    </row>
    <row r="32" spans="1:10" ht="15" hidden="1" x14ac:dyDescent="0.2">
      <c r="A32" s="186"/>
      <c r="B32" s="187"/>
      <c r="C32" s="821" t="s">
        <v>162</v>
      </c>
      <c r="D32" s="821"/>
      <c r="E32" s="182"/>
      <c r="F32" s="188" t="s">
        <v>404</v>
      </c>
      <c r="G32" s="349" t="s">
        <v>411</v>
      </c>
      <c r="H32" s="189">
        <v>0</v>
      </c>
      <c r="I32" s="189">
        <v>0</v>
      </c>
      <c r="J32" s="190"/>
    </row>
    <row r="33" spans="1:10" ht="15" hidden="1" x14ac:dyDescent="0.2">
      <c r="A33" s="186"/>
      <c r="B33" s="187"/>
      <c r="C33" s="821" t="s">
        <v>162</v>
      </c>
      <c r="D33" s="821"/>
      <c r="E33" s="182"/>
      <c r="F33" s="188" t="s">
        <v>404</v>
      </c>
      <c r="G33" s="349" t="s">
        <v>412</v>
      </c>
      <c r="H33" s="189">
        <v>0</v>
      </c>
      <c r="I33" s="189">
        <v>0</v>
      </c>
      <c r="J33" s="190"/>
    </row>
    <row r="34" spans="1:10" ht="15" x14ac:dyDescent="0.2">
      <c r="A34" s="186"/>
      <c r="B34" s="187"/>
      <c r="C34" s="820" t="s">
        <v>163</v>
      </c>
      <c r="D34" s="820"/>
      <c r="E34" s="182"/>
      <c r="F34" s="188"/>
      <c r="G34" s="188"/>
      <c r="H34" s="189">
        <v>0</v>
      </c>
      <c r="I34" s="189">
        <v>0</v>
      </c>
      <c r="J34" s="190"/>
    </row>
    <row r="35" spans="1:10" ht="15" x14ac:dyDescent="0.2">
      <c r="A35" s="186"/>
      <c r="B35" s="187"/>
      <c r="C35" s="820" t="s">
        <v>164</v>
      </c>
      <c r="D35" s="820"/>
      <c r="E35" s="182"/>
      <c r="F35" s="188"/>
      <c r="G35" s="188"/>
      <c r="H35" s="189">
        <v>0</v>
      </c>
      <c r="I35" s="189">
        <v>0</v>
      </c>
      <c r="J35" s="190"/>
    </row>
    <row r="36" spans="1:10" ht="9.9499999999999993" customHeight="1" x14ac:dyDescent="0.2">
      <c r="A36" s="186"/>
      <c r="B36" s="187"/>
      <c r="C36" s="187"/>
      <c r="D36" s="191"/>
      <c r="E36" s="182"/>
      <c r="F36" s="192"/>
      <c r="G36" s="192"/>
      <c r="H36" s="193"/>
      <c r="I36" s="193"/>
      <c r="J36" s="190"/>
    </row>
    <row r="37" spans="1:10" ht="9.9499999999999993" customHeight="1" x14ac:dyDescent="0.2">
      <c r="A37" s="186"/>
      <c r="B37" s="187"/>
      <c r="C37" s="187"/>
      <c r="D37" s="191"/>
      <c r="E37" s="182"/>
      <c r="F37" s="192"/>
      <c r="G37" s="192"/>
      <c r="H37" s="193"/>
      <c r="I37" s="193"/>
      <c r="J37" s="190"/>
    </row>
    <row r="38" spans="1:10" ht="15" x14ac:dyDescent="0.25">
      <c r="A38" s="181"/>
      <c r="B38" s="810" t="s">
        <v>165</v>
      </c>
      <c r="C38" s="810"/>
      <c r="D38" s="810"/>
      <c r="E38" s="182"/>
      <c r="F38" s="184"/>
      <c r="G38" s="184"/>
      <c r="H38" s="124">
        <f>SUM(H39:H42)</f>
        <v>0</v>
      </c>
      <c r="I38" s="124">
        <f>SUM(I39:I42)</f>
        <v>0</v>
      </c>
      <c r="J38" s="185"/>
    </row>
    <row r="39" spans="1:10" ht="15" x14ac:dyDescent="0.2">
      <c r="A39" s="186"/>
      <c r="B39" s="187"/>
      <c r="C39" s="820" t="s">
        <v>166</v>
      </c>
      <c r="D39" s="820"/>
      <c r="E39" s="182"/>
      <c r="F39" s="188"/>
      <c r="G39" s="188"/>
      <c r="H39" s="189">
        <v>0</v>
      </c>
      <c r="I39" s="189">
        <v>0</v>
      </c>
      <c r="J39" s="190"/>
    </row>
    <row r="40" spans="1:10" ht="15" x14ac:dyDescent="0.2">
      <c r="A40" s="186"/>
      <c r="B40" s="187"/>
      <c r="C40" s="820" t="s">
        <v>167</v>
      </c>
      <c r="D40" s="820"/>
      <c r="E40" s="182"/>
      <c r="F40" s="188"/>
      <c r="G40" s="188"/>
      <c r="H40" s="189">
        <v>0</v>
      </c>
      <c r="I40" s="189">
        <v>0</v>
      </c>
      <c r="J40" s="190"/>
    </row>
    <row r="41" spans="1:10" ht="15" x14ac:dyDescent="0.2">
      <c r="A41" s="186"/>
      <c r="B41" s="187"/>
      <c r="C41" s="820" t="s">
        <v>163</v>
      </c>
      <c r="D41" s="820"/>
      <c r="E41" s="182"/>
      <c r="F41" s="188"/>
      <c r="G41" s="188"/>
      <c r="H41" s="189">
        <v>0</v>
      </c>
      <c r="I41" s="189">
        <v>0</v>
      </c>
      <c r="J41" s="190"/>
    </row>
    <row r="42" spans="1:10" ht="15" x14ac:dyDescent="0.2">
      <c r="A42" s="186"/>
      <c r="B42" s="167"/>
      <c r="C42" s="820" t="s">
        <v>164</v>
      </c>
      <c r="D42" s="820"/>
      <c r="E42" s="182"/>
      <c r="F42" s="188"/>
      <c r="G42" s="188"/>
      <c r="H42" s="194">
        <v>0</v>
      </c>
      <c r="I42" s="194">
        <v>0</v>
      </c>
      <c r="J42" s="190"/>
    </row>
    <row r="43" spans="1:10" ht="9.9499999999999993" customHeight="1" x14ac:dyDescent="0.2">
      <c r="A43" s="186"/>
      <c r="B43" s="187"/>
      <c r="C43" s="187"/>
      <c r="D43" s="191"/>
      <c r="E43" s="182"/>
      <c r="F43" s="195"/>
      <c r="G43" s="195"/>
      <c r="H43" s="196"/>
      <c r="I43" s="196"/>
      <c r="J43" s="190"/>
    </row>
    <row r="44" spans="1:10" ht="9.9499999999999993" customHeight="1" x14ac:dyDescent="0.2">
      <c r="A44" s="186"/>
      <c r="B44" s="187"/>
      <c r="C44" s="187"/>
      <c r="D44" s="191"/>
      <c r="E44" s="182"/>
      <c r="F44" s="716"/>
      <c r="G44" s="716"/>
      <c r="H44" s="196"/>
      <c r="I44" s="196"/>
      <c r="J44" s="190"/>
    </row>
    <row r="45" spans="1:10" x14ac:dyDescent="0.2">
      <c r="A45" s="197"/>
      <c r="B45" s="824" t="s">
        <v>168</v>
      </c>
      <c r="C45" s="824"/>
      <c r="D45" s="824"/>
      <c r="E45" s="198"/>
      <c r="F45" s="199"/>
      <c r="G45" s="199"/>
      <c r="H45" s="200">
        <f>H24+H38</f>
        <v>0</v>
      </c>
      <c r="I45" s="200">
        <f>I24+I38</f>
        <v>0</v>
      </c>
      <c r="J45" s="201"/>
    </row>
    <row r="46" spans="1:10" ht="15" x14ac:dyDescent="0.25">
      <c r="A46" s="181"/>
      <c r="B46" s="187"/>
      <c r="C46" s="187"/>
      <c r="D46" s="202"/>
      <c r="E46" s="182"/>
      <c r="F46" s="195"/>
      <c r="G46" s="195"/>
      <c r="H46" s="196"/>
      <c r="I46" s="196"/>
      <c r="J46" s="185"/>
    </row>
    <row r="47" spans="1:10" ht="15" x14ac:dyDescent="0.25">
      <c r="A47" s="181"/>
      <c r="B47" s="187"/>
      <c r="C47" s="187"/>
      <c r="D47" s="431"/>
      <c r="E47" s="182"/>
      <c r="F47" s="430"/>
      <c r="G47" s="430"/>
      <c r="H47" s="196"/>
      <c r="I47" s="196"/>
      <c r="J47" s="185"/>
    </row>
    <row r="48" spans="1:10" ht="15" x14ac:dyDescent="0.25">
      <c r="A48" s="181"/>
      <c r="B48" s="187"/>
      <c r="C48" s="187"/>
      <c r="D48" s="431"/>
      <c r="E48" s="182"/>
      <c r="F48" s="430"/>
      <c r="G48" s="430"/>
      <c r="H48" s="196"/>
      <c r="I48" s="196"/>
      <c r="J48" s="185"/>
    </row>
    <row r="49" spans="1:10" ht="15" x14ac:dyDescent="0.25">
      <c r="A49" s="181"/>
      <c r="B49" s="187"/>
      <c r="C49" s="187"/>
      <c r="D49" s="431"/>
      <c r="E49" s="182"/>
      <c r="F49" s="430"/>
      <c r="G49" s="430"/>
      <c r="H49" s="196"/>
      <c r="I49" s="196"/>
      <c r="J49" s="185"/>
    </row>
    <row r="50" spans="1:10" ht="15" x14ac:dyDescent="0.25">
      <c r="A50" s="181"/>
      <c r="B50" s="187"/>
      <c r="C50" s="187"/>
      <c r="D50" s="431"/>
      <c r="E50" s="182"/>
      <c r="F50" s="430"/>
      <c r="G50" s="430"/>
      <c r="H50" s="196"/>
      <c r="I50" s="196"/>
      <c r="J50" s="185"/>
    </row>
    <row r="51" spans="1:10" ht="15" x14ac:dyDescent="0.25">
      <c r="A51" s="181"/>
      <c r="B51" s="811" t="s">
        <v>169</v>
      </c>
      <c r="C51" s="811"/>
      <c r="D51" s="811"/>
      <c r="E51" s="182"/>
      <c r="F51" s="195"/>
      <c r="G51" s="195"/>
      <c r="H51" s="196"/>
      <c r="I51" s="196"/>
      <c r="J51" s="185"/>
    </row>
    <row r="52" spans="1:10" ht="15" x14ac:dyDescent="0.25">
      <c r="A52" s="181"/>
      <c r="B52" s="716"/>
      <c r="C52" s="716"/>
      <c r="D52" s="716"/>
      <c r="E52" s="182"/>
      <c r="F52" s="716"/>
      <c r="G52" s="716"/>
      <c r="H52" s="196"/>
      <c r="I52" s="196"/>
      <c r="J52" s="185"/>
    </row>
    <row r="53" spans="1:10" ht="15" x14ac:dyDescent="0.25">
      <c r="A53" s="181"/>
      <c r="B53" s="810" t="s">
        <v>161</v>
      </c>
      <c r="C53" s="810"/>
      <c r="D53" s="810"/>
      <c r="E53" s="182"/>
      <c r="F53" s="184"/>
      <c r="G53" s="184"/>
      <c r="H53" s="124">
        <f>+H54+H62+H63</f>
        <v>37513829440.599998</v>
      </c>
      <c r="I53" s="124">
        <f>+I54+I62+I63</f>
        <v>36494044029.010002</v>
      </c>
      <c r="J53" s="185"/>
    </row>
    <row r="54" spans="1:10" ht="15" x14ac:dyDescent="0.2">
      <c r="A54" s="186"/>
      <c r="B54" s="187"/>
      <c r="C54" s="820" t="s">
        <v>162</v>
      </c>
      <c r="D54" s="820"/>
      <c r="E54" s="182"/>
      <c r="F54" s="188"/>
      <c r="G54" s="188"/>
      <c r="H54" s="189">
        <f>SUM(H55:H61)</f>
        <v>37513829440.599998</v>
      </c>
      <c r="I54" s="189">
        <f>SUM(I55:I61)</f>
        <v>36494044029.010002</v>
      </c>
      <c r="J54" s="190"/>
    </row>
    <row r="55" spans="1:10" ht="15" hidden="1" x14ac:dyDescent="0.2">
      <c r="A55" s="186"/>
      <c r="B55" s="187"/>
      <c r="C55" s="821" t="s">
        <v>162</v>
      </c>
      <c r="D55" s="821"/>
      <c r="E55" s="182"/>
      <c r="F55" s="188" t="s">
        <v>404</v>
      </c>
      <c r="G55" s="349" t="s">
        <v>405</v>
      </c>
      <c r="H55" s="189">
        <v>3620507701.0500002</v>
      </c>
      <c r="I55" s="189">
        <v>3591847415.4200001</v>
      </c>
      <c r="J55" s="190"/>
    </row>
    <row r="56" spans="1:10" ht="15" hidden="1" x14ac:dyDescent="0.2">
      <c r="A56" s="186"/>
      <c r="B56" s="187"/>
      <c r="C56" s="821" t="s">
        <v>162</v>
      </c>
      <c r="D56" s="821"/>
      <c r="E56" s="182"/>
      <c r="F56" s="188" t="s">
        <v>404</v>
      </c>
      <c r="G56" s="349" t="s">
        <v>406</v>
      </c>
      <c r="H56" s="189">
        <v>11822501331.17</v>
      </c>
      <c r="I56" s="189">
        <f>10975025591.56-0.01</f>
        <v>10975025591.549999</v>
      </c>
      <c r="J56" s="190"/>
    </row>
    <row r="57" spans="1:10" ht="15" hidden="1" x14ac:dyDescent="0.2">
      <c r="A57" s="186"/>
      <c r="B57" s="187"/>
      <c r="C57" s="821" t="s">
        <v>162</v>
      </c>
      <c r="D57" s="821"/>
      <c r="E57" s="182"/>
      <c r="F57" s="188" t="s">
        <v>404</v>
      </c>
      <c r="G57" s="349" t="s">
        <v>407</v>
      </c>
      <c r="H57" s="189">
        <v>1293799799.3399999</v>
      </c>
      <c r="I57" s="189">
        <v>1283557956.3399999</v>
      </c>
      <c r="J57" s="190"/>
    </row>
    <row r="58" spans="1:10" ht="15" hidden="1" x14ac:dyDescent="0.2">
      <c r="A58" s="186"/>
      <c r="B58" s="187"/>
      <c r="C58" s="821" t="s">
        <v>162</v>
      </c>
      <c r="D58" s="821"/>
      <c r="E58" s="182"/>
      <c r="F58" s="188" t="s">
        <v>404</v>
      </c>
      <c r="G58" s="349" t="s">
        <v>408</v>
      </c>
      <c r="H58" s="189">
        <v>6402291687.9499998</v>
      </c>
      <c r="I58" s="189">
        <v>6351613287.9499998</v>
      </c>
      <c r="J58" s="190"/>
    </row>
    <row r="59" spans="1:10" ht="15" hidden="1" x14ac:dyDescent="0.2">
      <c r="A59" s="186"/>
      <c r="B59" s="187"/>
      <c r="C59" s="821" t="s">
        <v>162</v>
      </c>
      <c r="D59" s="821"/>
      <c r="E59" s="182"/>
      <c r="F59" s="188" t="s">
        <v>404</v>
      </c>
      <c r="G59" s="349" t="s">
        <v>410</v>
      </c>
      <c r="H59" s="189">
        <v>3983760666.46</v>
      </c>
      <c r="I59" s="189">
        <v>3983287402.5599999</v>
      </c>
      <c r="J59" s="190"/>
    </row>
    <row r="60" spans="1:10" ht="15" hidden="1" x14ac:dyDescent="0.2">
      <c r="A60" s="186"/>
      <c r="B60" s="187"/>
      <c r="C60" s="821" t="s">
        <v>162</v>
      </c>
      <c r="D60" s="821"/>
      <c r="E60" s="182"/>
      <c r="F60" s="188" t="s">
        <v>404</v>
      </c>
      <c r="G60" s="349" t="s">
        <v>411</v>
      </c>
      <c r="H60" s="189">
        <v>8333891388.4300003</v>
      </c>
      <c r="I60" s="189">
        <v>8267919526.4300003</v>
      </c>
      <c r="J60" s="190"/>
    </row>
    <row r="61" spans="1:10" ht="15" hidden="1" x14ac:dyDescent="0.2">
      <c r="A61" s="186"/>
      <c r="B61" s="187"/>
      <c r="C61" s="821" t="s">
        <v>162</v>
      </c>
      <c r="D61" s="821"/>
      <c r="E61" s="182"/>
      <c r="F61" s="188" t="s">
        <v>404</v>
      </c>
      <c r="G61" s="349" t="s">
        <v>412</v>
      </c>
      <c r="H61" s="189">
        <v>2057076866.2</v>
      </c>
      <c r="I61" s="189">
        <v>2040792848.76</v>
      </c>
      <c r="J61" s="190"/>
    </row>
    <row r="62" spans="1:10" x14ac:dyDescent="0.2">
      <c r="A62" s="186"/>
      <c r="B62" s="167"/>
      <c r="C62" s="820" t="s">
        <v>163</v>
      </c>
      <c r="D62" s="820"/>
      <c r="E62" s="167"/>
      <c r="F62" s="203"/>
      <c r="G62" s="203"/>
      <c r="H62" s="189">
        <v>0</v>
      </c>
      <c r="I62" s="189">
        <v>0</v>
      </c>
      <c r="J62" s="190"/>
    </row>
    <row r="63" spans="1:10" x14ac:dyDescent="0.2">
      <c r="A63" s="186"/>
      <c r="B63" s="167"/>
      <c r="C63" s="820" t="s">
        <v>164</v>
      </c>
      <c r="D63" s="820"/>
      <c r="E63" s="167"/>
      <c r="F63" s="203"/>
      <c r="G63" s="203"/>
      <c r="H63" s="189">
        <v>0</v>
      </c>
      <c r="I63" s="189">
        <v>0</v>
      </c>
      <c r="J63" s="190"/>
    </row>
    <row r="64" spans="1:10" ht="9.9499999999999993" customHeight="1" x14ac:dyDescent="0.2">
      <c r="A64" s="186"/>
      <c r="B64" s="187"/>
      <c r="C64" s="187"/>
      <c r="D64" s="191"/>
      <c r="E64" s="182"/>
      <c r="F64" s="195"/>
      <c r="G64" s="195"/>
      <c r="H64" s="196"/>
      <c r="I64" s="196"/>
      <c r="J64" s="190"/>
    </row>
    <row r="65" spans="1:11" ht="9.9499999999999993" customHeight="1" x14ac:dyDescent="0.2">
      <c r="A65" s="186"/>
      <c r="B65" s="187"/>
      <c r="C65" s="187"/>
      <c r="D65" s="191"/>
      <c r="E65" s="182"/>
      <c r="F65" s="716"/>
      <c r="G65" s="716"/>
      <c r="H65" s="196"/>
      <c r="I65" s="196"/>
      <c r="J65" s="190"/>
    </row>
    <row r="66" spans="1:11" ht="15" x14ac:dyDescent="0.25">
      <c r="A66" s="181"/>
      <c r="B66" s="810" t="s">
        <v>165</v>
      </c>
      <c r="C66" s="810"/>
      <c r="D66" s="810"/>
      <c r="E66" s="182"/>
      <c r="F66" s="184"/>
      <c r="G66" s="184"/>
      <c r="H66" s="124">
        <f>SUM(H67:H70)</f>
        <v>0</v>
      </c>
      <c r="I66" s="124">
        <f>SUM(I67:I70)</f>
        <v>0</v>
      </c>
      <c r="J66" s="185"/>
    </row>
    <row r="67" spans="1:11" ht="15" x14ac:dyDescent="0.2">
      <c r="A67" s="186"/>
      <c r="B67" s="187"/>
      <c r="C67" s="820" t="s">
        <v>166</v>
      </c>
      <c r="D67" s="820"/>
      <c r="E67" s="182"/>
      <c r="F67" s="188"/>
      <c r="G67" s="188"/>
      <c r="H67" s="189">
        <v>0</v>
      </c>
      <c r="I67" s="189">
        <v>0</v>
      </c>
      <c r="J67" s="190"/>
    </row>
    <row r="68" spans="1:11" ht="15" x14ac:dyDescent="0.2">
      <c r="A68" s="186"/>
      <c r="B68" s="187"/>
      <c r="C68" s="820" t="s">
        <v>167</v>
      </c>
      <c r="D68" s="820"/>
      <c r="E68" s="182"/>
      <c r="F68" s="188"/>
      <c r="G68" s="188"/>
      <c r="H68" s="189">
        <v>0</v>
      </c>
      <c r="I68" s="189">
        <v>0</v>
      </c>
      <c r="J68" s="190"/>
    </row>
    <row r="69" spans="1:11" ht="15" x14ac:dyDescent="0.2">
      <c r="A69" s="186"/>
      <c r="B69" s="187"/>
      <c r="C69" s="820" t="s">
        <v>163</v>
      </c>
      <c r="D69" s="820"/>
      <c r="E69" s="182"/>
      <c r="F69" s="188"/>
      <c r="G69" s="188"/>
      <c r="H69" s="189">
        <v>0</v>
      </c>
      <c r="I69" s="189">
        <v>0</v>
      </c>
      <c r="J69" s="190"/>
    </row>
    <row r="70" spans="1:11" ht="15" x14ac:dyDescent="0.2">
      <c r="A70" s="186"/>
      <c r="B70" s="182"/>
      <c r="C70" s="820" t="s">
        <v>164</v>
      </c>
      <c r="D70" s="820"/>
      <c r="E70" s="182"/>
      <c r="F70" s="188"/>
      <c r="G70" s="188"/>
      <c r="H70" s="189">
        <v>0</v>
      </c>
      <c r="I70" s="189">
        <v>0</v>
      </c>
      <c r="J70" s="190"/>
    </row>
    <row r="71" spans="1:11" ht="9.9499999999999993" customHeight="1" x14ac:dyDescent="0.2">
      <c r="A71" s="186"/>
      <c r="B71" s="182"/>
      <c r="C71" s="182"/>
      <c r="D71" s="191"/>
      <c r="E71" s="182"/>
      <c r="F71" s="195"/>
      <c r="G71" s="195"/>
      <c r="H71" s="196"/>
      <c r="I71" s="196"/>
      <c r="J71" s="190"/>
    </row>
    <row r="72" spans="1:11" x14ac:dyDescent="0.2">
      <c r="A72" s="197"/>
      <c r="B72" s="824" t="s">
        <v>170</v>
      </c>
      <c r="C72" s="824"/>
      <c r="D72" s="824"/>
      <c r="E72" s="198"/>
      <c r="F72" s="204"/>
      <c r="G72" s="204"/>
      <c r="H72" s="200">
        <f>+H53+H66</f>
        <v>37513829440.599998</v>
      </c>
      <c r="I72" s="200">
        <f>+I53+I66</f>
        <v>36494044029.010002</v>
      </c>
      <c r="J72" s="201"/>
    </row>
    <row r="73" spans="1:11" ht="15" x14ac:dyDescent="0.2">
      <c r="A73" s="186"/>
      <c r="B73" s="187"/>
      <c r="C73" s="187"/>
      <c r="D73" s="191"/>
      <c r="E73" s="182"/>
      <c r="F73" s="195"/>
      <c r="G73" s="195"/>
      <c r="H73" s="196"/>
      <c r="I73" s="196"/>
      <c r="J73" s="190"/>
    </row>
    <row r="74" spans="1:11" ht="15" x14ac:dyDescent="0.2">
      <c r="A74" s="186"/>
      <c r="B74" s="187"/>
      <c r="C74" s="187"/>
      <c r="D74" s="191"/>
      <c r="E74" s="182"/>
      <c r="F74" s="716"/>
      <c r="G74" s="716"/>
      <c r="H74" s="196"/>
      <c r="I74" s="196"/>
      <c r="J74" s="190"/>
    </row>
    <row r="75" spans="1:11" ht="15" x14ac:dyDescent="0.2">
      <c r="A75" s="186"/>
      <c r="B75" s="810" t="s">
        <v>171</v>
      </c>
      <c r="C75" s="810"/>
      <c r="D75" s="810"/>
      <c r="E75" s="182"/>
      <c r="F75" s="188"/>
      <c r="G75" s="188"/>
      <c r="H75" s="205">
        <f>+H76+H77</f>
        <v>3183310646.6300001</v>
      </c>
      <c r="I75" s="205">
        <f>+I76+I77</f>
        <v>3459614279.6500001</v>
      </c>
      <c r="J75" s="190"/>
    </row>
    <row r="76" spans="1:11" ht="15" x14ac:dyDescent="0.2">
      <c r="A76" s="186"/>
      <c r="B76" s="344"/>
      <c r="C76" s="717" t="s">
        <v>11</v>
      </c>
      <c r="D76" s="717"/>
      <c r="E76" s="182"/>
      <c r="F76" s="188"/>
      <c r="G76" s="188"/>
      <c r="H76" s="416">
        <f>+'Estado de Situacion Financiera'!J24</f>
        <v>3161126527.0500002</v>
      </c>
      <c r="I76" s="51">
        <f>+'Estado de Situacion Financiera'!I24</f>
        <v>3435836999.0700002</v>
      </c>
      <c r="J76" s="190"/>
    </row>
    <row r="77" spans="1:11" ht="28.5" customHeight="1" x14ac:dyDescent="0.2">
      <c r="A77" s="186"/>
      <c r="B77" s="344"/>
      <c r="C77" s="720" t="s">
        <v>21</v>
      </c>
      <c r="D77" s="720"/>
      <c r="E77" s="182"/>
      <c r="F77" s="188"/>
      <c r="G77" s="188"/>
      <c r="H77" s="51">
        <f>+'Estado de Situacion Financiera'!J29</f>
        <v>22184119.579999998</v>
      </c>
      <c r="I77" s="51">
        <f>+'Estado de Situacion Financiera'!I29</f>
        <v>23777280.579999998</v>
      </c>
      <c r="J77" s="190"/>
    </row>
    <row r="78" spans="1:11" ht="15" x14ac:dyDescent="0.2">
      <c r="A78" s="186"/>
      <c r="B78" s="187"/>
      <c r="C78" s="187"/>
      <c r="D78" s="191"/>
      <c r="E78" s="182"/>
      <c r="F78" s="195"/>
      <c r="G78" s="195"/>
      <c r="H78" s="196"/>
      <c r="I78" s="196"/>
      <c r="J78" s="190"/>
    </row>
    <row r="79" spans="1:11" x14ac:dyDescent="0.2">
      <c r="A79" s="206"/>
      <c r="B79" s="822" t="s">
        <v>172</v>
      </c>
      <c r="C79" s="822"/>
      <c r="D79" s="822"/>
      <c r="E79" s="207"/>
      <c r="F79" s="208"/>
      <c r="G79" s="208"/>
      <c r="H79" s="209">
        <f>H45+H72+H75</f>
        <v>40697140087.229996</v>
      </c>
      <c r="I79" s="209">
        <f>I45+I72+I75</f>
        <v>39953658308.660004</v>
      </c>
      <c r="J79" s="210"/>
      <c r="K79" s="452">
        <f>+I79-'Estado de Situacion Financiera'!I46</f>
        <v>0</v>
      </c>
    </row>
    <row r="80" spans="1:11" ht="6" customHeight="1" x14ac:dyDescent="0.2">
      <c r="B80" s="811"/>
      <c r="C80" s="811"/>
      <c r="D80" s="811"/>
      <c r="E80" s="811"/>
      <c r="F80" s="811"/>
      <c r="G80" s="811"/>
      <c r="H80" s="811"/>
      <c r="I80" s="811"/>
      <c r="J80" s="811"/>
    </row>
    <row r="81" spans="1:10" ht="6.75" customHeight="1" x14ac:dyDescent="0.2">
      <c r="B81" s="211"/>
      <c r="C81" s="211"/>
      <c r="D81" s="212"/>
      <c r="E81" s="213"/>
      <c r="F81" s="212"/>
      <c r="G81" s="213"/>
      <c r="H81" s="413"/>
      <c r="I81" s="413"/>
    </row>
    <row r="82" spans="1:10" s="165" customFormat="1" ht="15" customHeight="1" x14ac:dyDescent="0.2">
      <c r="A82" s="166"/>
      <c r="B82" s="820" t="s">
        <v>78</v>
      </c>
      <c r="C82" s="820"/>
      <c r="D82" s="820"/>
      <c r="E82" s="820"/>
      <c r="F82" s="820"/>
      <c r="G82" s="820"/>
      <c r="H82" s="820"/>
      <c r="I82" s="820"/>
      <c r="J82" s="820"/>
    </row>
    <row r="83" spans="1:10" s="165" customFormat="1" ht="28.5" customHeight="1" x14ac:dyDescent="0.2">
      <c r="A83" s="166"/>
      <c r="B83" s="191"/>
      <c r="C83" s="214"/>
      <c r="D83" s="215"/>
      <c r="E83" s="215"/>
      <c r="F83" s="166"/>
      <c r="G83" s="631"/>
      <c r="H83" s="629" t="str">
        <f>IF(H79='Estado de Situacion Financiera'!J46," ","ERROR")</f>
        <v xml:space="preserve"> </v>
      </c>
      <c r="I83" s="217" t="str">
        <f>IF(I79='Estado de Situacion Financiera'!I46," ","ERROR")</f>
        <v xml:space="preserve"> </v>
      </c>
      <c r="J83" s="215"/>
    </row>
    <row r="84" spans="1:10" s="165" customFormat="1" ht="25.5" customHeight="1" x14ac:dyDescent="0.2">
      <c r="A84" s="166"/>
      <c r="B84" s="191"/>
      <c r="C84" s="727"/>
      <c r="D84" s="727"/>
      <c r="E84" s="215"/>
      <c r="F84" s="166"/>
      <c r="G84" s="823"/>
      <c r="H84" s="726"/>
      <c r="I84" s="447"/>
      <c r="J84" s="215"/>
    </row>
    <row r="85" spans="1:10" s="165" customFormat="1" ht="14.1" customHeight="1" x14ac:dyDescent="0.2">
      <c r="A85" s="166"/>
      <c r="B85" s="196"/>
      <c r="C85" s="725" t="s">
        <v>403</v>
      </c>
      <c r="D85" s="725"/>
      <c r="E85" s="215"/>
      <c r="F85" s="215"/>
      <c r="G85" s="725" t="s">
        <v>474</v>
      </c>
      <c r="H85" s="725"/>
      <c r="I85" s="725"/>
      <c r="J85" s="725"/>
    </row>
    <row r="86" spans="1:10" s="165" customFormat="1" ht="14.1" customHeight="1" x14ac:dyDescent="0.2">
      <c r="A86" s="166"/>
      <c r="B86" s="218"/>
      <c r="C86" s="723" t="s">
        <v>402</v>
      </c>
      <c r="D86" s="723"/>
      <c r="E86" s="219"/>
      <c r="F86" s="219"/>
      <c r="G86" s="723" t="s">
        <v>475</v>
      </c>
      <c r="H86" s="723"/>
      <c r="I86" s="723"/>
      <c r="J86" s="723"/>
    </row>
    <row r="87" spans="1:10" x14ac:dyDescent="0.2">
      <c r="I87" s="448"/>
    </row>
  </sheetData>
  <sheetProtection selectLockedCells="1"/>
  <mergeCells count="62">
    <mergeCell ref="B51:D51"/>
    <mergeCell ref="B53:D53"/>
    <mergeCell ref="C54:D54"/>
    <mergeCell ref="B45:D45"/>
    <mergeCell ref="C35:D35"/>
    <mergeCell ref="B38:D38"/>
    <mergeCell ref="C39:D39"/>
    <mergeCell ref="C40:D40"/>
    <mergeCell ref="C41:D41"/>
    <mergeCell ref="C42:D42"/>
    <mergeCell ref="G86:J86"/>
    <mergeCell ref="C59:D59"/>
    <mergeCell ref="C60:D60"/>
    <mergeCell ref="C61:D61"/>
    <mergeCell ref="C76:D76"/>
    <mergeCell ref="C86:D86"/>
    <mergeCell ref="B79:D79"/>
    <mergeCell ref="B80:J80"/>
    <mergeCell ref="B82:J82"/>
    <mergeCell ref="C84:D84"/>
    <mergeCell ref="G84:H84"/>
    <mergeCell ref="C85:D85"/>
    <mergeCell ref="B75:D75"/>
    <mergeCell ref="C77:D77"/>
    <mergeCell ref="G85:J85"/>
    <mergeCell ref="B72:D72"/>
    <mergeCell ref="C67:D67"/>
    <mergeCell ref="C68:D68"/>
    <mergeCell ref="C69:D69"/>
    <mergeCell ref="C70:D70"/>
    <mergeCell ref="C55:D55"/>
    <mergeCell ref="C56:D56"/>
    <mergeCell ref="B66:D66"/>
    <mergeCell ref="C62:D62"/>
    <mergeCell ref="C63:D63"/>
    <mergeCell ref="C57:D57"/>
    <mergeCell ref="C58:D58"/>
    <mergeCell ref="B24:D24"/>
    <mergeCell ref="C25:D25"/>
    <mergeCell ref="C34:D34"/>
    <mergeCell ref="C28:D28"/>
    <mergeCell ref="C29:D29"/>
    <mergeCell ref="C30:D30"/>
    <mergeCell ref="C31:D31"/>
    <mergeCell ref="C32:D32"/>
    <mergeCell ref="C33:D33"/>
    <mergeCell ref="C26:D26"/>
    <mergeCell ref="C27:D27"/>
    <mergeCell ref="B21:D21"/>
    <mergeCell ref="B22:D22"/>
    <mergeCell ref="B20:J20"/>
    <mergeCell ref="C10:H10"/>
    <mergeCell ref="C11:H11"/>
    <mergeCell ref="C12:H12"/>
    <mergeCell ref="C13:H13"/>
    <mergeCell ref="B14:C14"/>
    <mergeCell ref="D14:I14"/>
    <mergeCell ref="B16:J16"/>
    <mergeCell ref="B17:J17"/>
    <mergeCell ref="B18:D18"/>
    <mergeCell ref="B19:J19"/>
    <mergeCell ref="C15:H15"/>
  </mergeCells>
  <printOptions verticalCentered="1"/>
  <pageMargins left="0.25" right="0" top="0.31496062992125984" bottom="0.47244094488188981" header="0" footer="0"/>
  <pageSetup scale="62" orientation="portrait" r:id="rId1"/>
  <rowBreaks count="1" manualBreakCount="1">
    <brk id="48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Q52"/>
  <sheetViews>
    <sheetView topLeftCell="A28" zoomScaleNormal="100" workbookViewId="0">
      <selection activeCell="C62" sqref="C62:C64"/>
    </sheetView>
  </sheetViews>
  <sheetFormatPr baseColWidth="10" defaultRowHeight="14.25" x14ac:dyDescent="0.2"/>
  <cols>
    <col min="1" max="1" width="4.85546875" style="164" customWidth="1"/>
    <col min="2" max="2" width="14.5703125" style="164" customWidth="1"/>
    <col min="3" max="3" width="18.85546875" style="164" customWidth="1"/>
    <col min="4" max="4" width="21.85546875" style="164" customWidth="1"/>
    <col min="5" max="5" width="3.42578125" style="164" customWidth="1"/>
    <col min="6" max="6" width="22.28515625" style="164" customWidth="1"/>
    <col min="7" max="7" width="29.7109375" style="164" customWidth="1"/>
    <col min="8" max="8" width="20.7109375" style="164" customWidth="1"/>
    <col min="9" max="9" width="20.85546875" style="164" customWidth="1"/>
    <col min="10" max="10" width="3.7109375" style="164" customWidth="1"/>
    <col min="11" max="16384" width="11.42578125" style="166"/>
  </cols>
  <sheetData>
    <row r="7" spans="1:17" s="165" customFormat="1" ht="6" customHeight="1" x14ac:dyDescent="0.2">
      <c r="A7" s="117"/>
      <c r="B7" s="162"/>
      <c r="C7" s="83"/>
      <c r="D7" s="163"/>
      <c r="E7" s="163"/>
      <c r="F7" s="163"/>
      <c r="G7" s="163"/>
      <c r="H7" s="163"/>
      <c r="I7" s="163"/>
      <c r="J7" s="163"/>
      <c r="K7" s="164"/>
      <c r="P7" s="166"/>
      <c r="Q7" s="166"/>
    </row>
    <row r="8" spans="1:17" ht="6" customHeight="1" x14ac:dyDescent="0.2">
      <c r="A8" s="166"/>
      <c r="B8" s="167"/>
      <c r="C8" s="166"/>
      <c r="D8" s="166"/>
      <c r="E8" s="166"/>
      <c r="F8" s="166"/>
      <c r="G8" s="166"/>
      <c r="H8" s="166"/>
      <c r="I8" s="166"/>
      <c r="J8" s="166"/>
    </row>
    <row r="9" spans="1:17" ht="6" customHeight="1" x14ac:dyDescent="0.2"/>
    <row r="10" spans="1:17" ht="14.1" customHeight="1" x14ac:dyDescent="0.25">
      <c r="B10" s="168"/>
      <c r="C10" s="814" t="str">
        <f>+'Edo Analit Deuda y O Pasivos'!C10:H10</f>
        <v>Cuenta Pública 2016</v>
      </c>
      <c r="D10" s="814"/>
      <c r="E10" s="814"/>
      <c r="F10" s="814"/>
      <c r="G10" s="814"/>
      <c r="H10" s="814"/>
      <c r="I10" s="168"/>
      <c r="J10" s="168"/>
    </row>
    <row r="11" spans="1:17" ht="14.1" customHeight="1" x14ac:dyDescent="0.25">
      <c r="B11" s="168"/>
      <c r="C11" s="814" t="s">
        <v>395</v>
      </c>
      <c r="D11" s="814"/>
      <c r="E11" s="814"/>
      <c r="F11" s="814"/>
      <c r="G11" s="814"/>
      <c r="H11" s="814"/>
      <c r="I11" s="168"/>
      <c r="J11" s="168"/>
    </row>
    <row r="12" spans="1:17" ht="14.1" customHeight="1" x14ac:dyDescent="0.25">
      <c r="B12" s="168"/>
      <c r="C12" s="814" t="str">
        <f>+'Edo Analit Deuda y O Pasivos'!C12:H12</f>
        <v>Del 1 de enero al 31 de diciembre de 2016</v>
      </c>
      <c r="D12" s="814"/>
      <c r="E12" s="814"/>
      <c r="F12" s="814"/>
      <c r="G12" s="814"/>
      <c r="H12" s="814"/>
      <c r="I12" s="168"/>
      <c r="J12" s="168"/>
    </row>
    <row r="13" spans="1:17" ht="14.1" customHeight="1" x14ac:dyDescent="0.25">
      <c r="B13" s="168"/>
      <c r="C13" s="814" t="s">
        <v>1</v>
      </c>
      <c r="D13" s="814"/>
      <c r="E13" s="814"/>
      <c r="F13" s="814"/>
      <c r="G13" s="814"/>
      <c r="H13" s="814"/>
      <c r="I13" s="168"/>
      <c r="J13" s="168"/>
    </row>
    <row r="14" spans="1:17" ht="6" customHeight="1" x14ac:dyDescent="0.25">
      <c r="A14" s="169"/>
      <c r="B14" s="815"/>
      <c r="C14" s="815"/>
      <c r="D14" s="816"/>
      <c r="E14" s="816"/>
      <c r="F14" s="816"/>
      <c r="G14" s="816"/>
      <c r="H14" s="816"/>
      <c r="I14" s="816"/>
      <c r="J14" s="265"/>
    </row>
    <row r="15" spans="1:17" ht="15" customHeight="1" x14ac:dyDescent="0.25">
      <c r="A15" s="169"/>
      <c r="B15" s="171"/>
      <c r="C15" s="814" t="s">
        <v>388</v>
      </c>
      <c r="D15" s="814"/>
      <c r="E15" s="814"/>
      <c r="F15" s="814"/>
      <c r="G15" s="814"/>
      <c r="H15" s="814"/>
      <c r="I15" s="220"/>
      <c r="J15" s="265"/>
    </row>
    <row r="16" spans="1:17" ht="5.0999999999999996" customHeight="1" x14ac:dyDescent="0.2">
      <c r="A16" s="172"/>
      <c r="B16" s="817"/>
      <c r="C16" s="817"/>
      <c r="D16" s="817"/>
      <c r="E16" s="817"/>
      <c r="F16" s="817"/>
      <c r="G16" s="817"/>
      <c r="H16" s="817"/>
      <c r="I16" s="817"/>
      <c r="J16" s="817"/>
    </row>
    <row r="17" spans="1:10" ht="3" customHeight="1" x14ac:dyDescent="0.2">
      <c r="A17" s="172"/>
      <c r="B17" s="826"/>
      <c r="C17" s="826"/>
      <c r="D17" s="826"/>
      <c r="E17" s="826"/>
      <c r="F17" s="826"/>
      <c r="G17" s="826"/>
      <c r="H17" s="826"/>
      <c r="I17" s="826"/>
      <c r="J17" s="826"/>
    </row>
    <row r="18" spans="1:10" ht="30" customHeight="1" x14ac:dyDescent="0.2">
      <c r="A18" s="173"/>
      <c r="B18" s="818" t="s">
        <v>390</v>
      </c>
      <c r="C18" s="818"/>
      <c r="D18" s="818"/>
      <c r="E18" s="174"/>
      <c r="F18" s="175" t="s">
        <v>155</v>
      </c>
      <c r="G18" s="175" t="s">
        <v>156</v>
      </c>
      <c r="H18" s="174" t="s">
        <v>157</v>
      </c>
      <c r="I18" s="174" t="s">
        <v>158</v>
      </c>
      <c r="J18" s="176"/>
    </row>
    <row r="19" spans="1:10" ht="3" customHeight="1" x14ac:dyDescent="0.2">
      <c r="A19" s="177"/>
      <c r="B19" s="827"/>
      <c r="C19" s="827"/>
      <c r="D19" s="827"/>
      <c r="E19" s="827"/>
      <c r="F19" s="827"/>
      <c r="G19" s="827"/>
      <c r="H19" s="827"/>
      <c r="I19" s="827"/>
      <c r="J19" s="828"/>
    </row>
    <row r="20" spans="1:10" ht="9.9499999999999993" customHeight="1" x14ac:dyDescent="0.2">
      <c r="A20" s="178"/>
      <c r="B20" s="812"/>
      <c r="C20" s="812"/>
      <c r="D20" s="812"/>
      <c r="E20" s="812"/>
      <c r="F20" s="812"/>
      <c r="G20" s="812"/>
      <c r="H20" s="812"/>
      <c r="I20" s="812"/>
      <c r="J20" s="813"/>
    </row>
    <row r="21" spans="1:10" ht="15" x14ac:dyDescent="0.2">
      <c r="A21" s="178"/>
      <c r="B21" s="811" t="s">
        <v>393</v>
      </c>
      <c r="C21" s="811"/>
      <c r="D21" s="811"/>
      <c r="E21" s="179"/>
      <c r="F21" s="179"/>
      <c r="G21" s="179"/>
      <c r="H21" s="179"/>
      <c r="I21" s="442"/>
      <c r="J21" s="180"/>
    </row>
    <row r="22" spans="1:10" ht="15" x14ac:dyDescent="0.2">
      <c r="A22" s="178"/>
      <c r="B22" s="342"/>
      <c r="C22" s="342"/>
      <c r="D22" s="342"/>
      <c r="E22" s="179"/>
      <c r="F22" s="179"/>
      <c r="G22" s="179"/>
      <c r="H22" s="179"/>
      <c r="I22" s="179"/>
      <c r="J22" s="180"/>
    </row>
    <row r="23" spans="1:10" ht="15" x14ac:dyDescent="0.25">
      <c r="A23" s="181"/>
      <c r="B23" s="810"/>
      <c r="C23" s="810"/>
      <c r="D23" s="810"/>
      <c r="E23" s="182"/>
      <c r="F23" s="182"/>
      <c r="G23" s="182"/>
      <c r="H23" s="182"/>
      <c r="I23" s="182"/>
      <c r="J23" s="183"/>
    </row>
    <row r="24" spans="1:10" ht="15" x14ac:dyDescent="0.25">
      <c r="A24" s="181"/>
      <c r="B24" s="825" t="s">
        <v>391</v>
      </c>
      <c r="C24" s="825"/>
      <c r="D24" s="825"/>
      <c r="E24" s="182"/>
      <c r="F24" s="184"/>
      <c r="G24" s="184"/>
      <c r="H24" s="124">
        <f>SUM(H25:H31)</f>
        <v>102713525</v>
      </c>
      <c r="I24" s="422">
        <f>SUM(I25:I31)</f>
        <v>81168232.5</v>
      </c>
      <c r="J24" s="185"/>
    </row>
    <row r="25" spans="1:10" ht="14.25" customHeight="1" x14ac:dyDescent="0.2">
      <c r="A25" s="186"/>
      <c r="B25" s="187"/>
      <c r="C25" s="343" t="s">
        <v>394</v>
      </c>
      <c r="D25" s="343"/>
      <c r="E25" s="182"/>
      <c r="F25" s="188" t="s">
        <v>404</v>
      </c>
      <c r="G25" s="188" t="s">
        <v>417</v>
      </c>
      <c r="H25" s="189">
        <v>27671036</v>
      </c>
      <c r="I25" s="189">
        <v>22715029.289999999</v>
      </c>
      <c r="J25" s="190"/>
    </row>
    <row r="26" spans="1:10" ht="14.25" customHeight="1" x14ac:dyDescent="0.2">
      <c r="A26" s="186"/>
      <c r="B26" s="187"/>
      <c r="C26" s="343" t="s">
        <v>394</v>
      </c>
      <c r="D26" s="343"/>
      <c r="E26" s="182"/>
      <c r="F26" s="188" t="s">
        <v>404</v>
      </c>
      <c r="G26" s="188" t="s">
        <v>417</v>
      </c>
      <c r="H26" s="189">
        <v>17820351</v>
      </c>
      <c r="I26" s="189">
        <v>14314707.640000001</v>
      </c>
      <c r="J26" s="190"/>
    </row>
    <row r="27" spans="1:10" ht="14.25" customHeight="1" x14ac:dyDescent="0.2">
      <c r="A27" s="186"/>
      <c r="B27" s="187"/>
      <c r="C27" s="343" t="s">
        <v>413</v>
      </c>
      <c r="D27" s="343"/>
      <c r="E27" s="182"/>
      <c r="F27" s="188" t="s">
        <v>404</v>
      </c>
      <c r="G27" s="188" t="s">
        <v>417</v>
      </c>
      <c r="H27" s="189">
        <v>1970607</v>
      </c>
      <c r="I27" s="189">
        <v>1407576.62</v>
      </c>
      <c r="J27" s="190"/>
    </row>
    <row r="28" spans="1:10" ht="14.25" customHeight="1" x14ac:dyDescent="0.2">
      <c r="A28" s="186"/>
      <c r="B28" s="187"/>
      <c r="C28" s="343" t="s">
        <v>413</v>
      </c>
      <c r="D28" s="343"/>
      <c r="E28" s="182"/>
      <c r="F28" s="188" t="s">
        <v>404</v>
      </c>
      <c r="G28" s="188" t="s">
        <v>417</v>
      </c>
      <c r="H28" s="189">
        <v>5622549</v>
      </c>
      <c r="I28" s="189">
        <v>4534313.96</v>
      </c>
      <c r="J28" s="190"/>
    </row>
    <row r="29" spans="1:10" ht="14.25" customHeight="1" x14ac:dyDescent="0.2">
      <c r="A29" s="186"/>
      <c r="B29" s="187"/>
      <c r="C29" s="343" t="s">
        <v>414</v>
      </c>
      <c r="D29" s="343"/>
      <c r="E29" s="182"/>
      <c r="F29" s="188" t="s">
        <v>404</v>
      </c>
      <c r="G29" s="188" t="s">
        <v>417</v>
      </c>
      <c r="H29" s="189">
        <v>6918493</v>
      </c>
      <c r="I29" s="189">
        <v>5188869.84</v>
      </c>
      <c r="J29" s="190"/>
    </row>
    <row r="30" spans="1:10" ht="14.25" customHeight="1" x14ac:dyDescent="0.2">
      <c r="A30" s="186"/>
      <c r="B30" s="187"/>
      <c r="C30" s="343" t="s">
        <v>415</v>
      </c>
      <c r="D30" s="343"/>
      <c r="E30" s="182"/>
      <c r="F30" s="188" t="s">
        <v>404</v>
      </c>
      <c r="G30" s="188" t="s">
        <v>417</v>
      </c>
      <c r="H30" s="189">
        <v>9328648</v>
      </c>
      <c r="I30" s="189">
        <v>7044081.2400000002</v>
      </c>
      <c r="J30" s="190"/>
    </row>
    <row r="31" spans="1:10" ht="14.25" customHeight="1" x14ac:dyDescent="0.2">
      <c r="A31" s="186"/>
      <c r="B31" s="187"/>
      <c r="C31" s="343" t="s">
        <v>416</v>
      </c>
      <c r="D31" s="343"/>
      <c r="E31" s="182"/>
      <c r="F31" s="188" t="s">
        <v>404</v>
      </c>
      <c r="G31" s="188" t="s">
        <v>417</v>
      </c>
      <c r="H31" s="189">
        <v>33381841</v>
      </c>
      <c r="I31" s="189">
        <v>25963653.91</v>
      </c>
      <c r="J31" s="190"/>
    </row>
    <row r="32" spans="1:10" ht="14.25" customHeight="1" x14ac:dyDescent="0.2">
      <c r="A32" s="186"/>
      <c r="B32" s="187"/>
      <c r="C32" s="343"/>
      <c r="D32" s="343"/>
      <c r="E32" s="182"/>
      <c r="F32" s="188"/>
      <c r="G32" s="188"/>
      <c r="H32" s="189"/>
      <c r="I32" s="189"/>
      <c r="J32" s="190"/>
    </row>
    <row r="33" spans="1:10" ht="15.75" customHeight="1" x14ac:dyDescent="0.2">
      <c r="A33" s="186"/>
      <c r="B33" s="187"/>
      <c r="C33" s="187"/>
      <c r="D33" s="191"/>
      <c r="E33" s="182"/>
      <c r="F33" s="195"/>
      <c r="G33" s="195"/>
      <c r="H33" s="196"/>
      <c r="I33" s="189"/>
      <c r="J33" s="190"/>
    </row>
    <row r="34" spans="1:10" ht="15" x14ac:dyDescent="0.2">
      <c r="A34" s="186"/>
      <c r="B34" s="825" t="s">
        <v>418</v>
      </c>
      <c r="C34" s="825"/>
      <c r="D34" s="825"/>
      <c r="E34" s="182"/>
      <c r="F34" s="342"/>
      <c r="G34" s="188"/>
      <c r="H34" s="350">
        <f>SUM(H35:H37)</f>
        <v>28560513</v>
      </c>
      <c r="I34" s="350">
        <f>SUM(I35:I37)</f>
        <v>25565152.479999997</v>
      </c>
      <c r="J34" s="190"/>
    </row>
    <row r="35" spans="1:10" ht="15" x14ac:dyDescent="0.2">
      <c r="A35" s="186"/>
      <c r="B35" s="187"/>
      <c r="C35" s="343" t="s">
        <v>419</v>
      </c>
      <c r="D35" s="191"/>
      <c r="E35" s="182"/>
      <c r="F35" s="188" t="s">
        <v>404</v>
      </c>
      <c r="G35" s="188" t="s">
        <v>422</v>
      </c>
      <c r="H35" s="189">
        <v>1256000</v>
      </c>
      <c r="I35" s="189">
        <v>756800</v>
      </c>
      <c r="J35" s="190"/>
    </row>
    <row r="36" spans="1:10" ht="15" x14ac:dyDescent="0.2">
      <c r="A36" s="186"/>
      <c r="B36" s="187"/>
      <c r="C36" s="343" t="s">
        <v>420</v>
      </c>
      <c r="D36" s="191"/>
      <c r="E36" s="182"/>
      <c r="F36" s="188" t="s">
        <v>404</v>
      </c>
      <c r="G36" s="188" t="s">
        <v>423</v>
      </c>
      <c r="H36" s="189">
        <v>11601673</v>
      </c>
      <c r="I36" s="189">
        <v>10577852.479999999</v>
      </c>
      <c r="J36" s="190"/>
    </row>
    <row r="37" spans="1:10" ht="15" x14ac:dyDescent="0.2">
      <c r="A37" s="186"/>
      <c r="B37" s="187"/>
      <c r="C37" s="343" t="s">
        <v>421</v>
      </c>
      <c r="D37" s="191"/>
      <c r="E37" s="182"/>
      <c r="F37" s="188" t="s">
        <v>404</v>
      </c>
      <c r="G37" s="188" t="s">
        <v>423</v>
      </c>
      <c r="H37" s="189">
        <v>15702840</v>
      </c>
      <c r="I37" s="189">
        <v>14230500</v>
      </c>
      <c r="J37" s="190"/>
    </row>
    <row r="38" spans="1:10" ht="15" x14ac:dyDescent="0.2">
      <c r="A38" s="186"/>
      <c r="B38" s="187"/>
      <c r="C38" s="343"/>
      <c r="D38" s="191"/>
      <c r="E38" s="182"/>
      <c r="F38" s="342"/>
      <c r="G38" s="342"/>
      <c r="H38" s="196"/>
      <c r="I38" s="189"/>
      <c r="J38" s="190"/>
    </row>
    <row r="39" spans="1:10" ht="15" x14ac:dyDescent="0.2">
      <c r="A39" s="186"/>
      <c r="B39" s="187"/>
      <c r="C39" s="187"/>
      <c r="D39" s="191"/>
      <c r="E39" s="182"/>
      <c r="F39" s="342"/>
      <c r="G39" s="342"/>
      <c r="H39" s="196"/>
      <c r="I39" s="189"/>
      <c r="J39" s="190"/>
    </row>
    <row r="40" spans="1:10" ht="15" x14ac:dyDescent="0.2">
      <c r="A40" s="186"/>
      <c r="B40" s="825" t="s">
        <v>424</v>
      </c>
      <c r="C40" s="825"/>
      <c r="D40" s="825"/>
      <c r="E40" s="182"/>
      <c r="F40" s="342"/>
      <c r="G40" s="342"/>
      <c r="H40" s="424">
        <f>SUM(H41:H43)</f>
        <v>2827603907</v>
      </c>
      <c r="I40" s="424">
        <f>SUM(I41:I43)</f>
        <v>2827603907</v>
      </c>
      <c r="J40" s="190"/>
    </row>
    <row r="41" spans="1:10" ht="15" x14ac:dyDescent="0.2">
      <c r="A41" s="186"/>
      <c r="B41" s="343"/>
      <c r="C41" s="343" t="s">
        <v>425</v>
      </c>
      <c r="D41" s="343"/>
      <c r="E41" s="182"/>
      <c r="F41" s="188" t="s">
        <v>404</v>
      </c>
      <c r="G41" s="188" t="s">
        <v>417</v>
      </c>
      <c r="H41" s="189">
        <v>596929451</v>
      </c>
      <c r="I41" s="189">
        <v>596929451</v>
      </c>
      <c r="J41" s="190"/>
    </row>
    <row r="42" spans="1:10" ht="15" x14ac:dyDescent="0.2">
      <c r="A42" s="186"/>
      <c r="B42" s="418"/>
      <c r="C42" s="418" t="s">
        <v>476</v>
      </c>
      <c r="D42" s="418"/>
      <c r="E42" s="182"/>
      <c r="F42" s="188" t="s">
        <v>404</v>
      </c>
      <c r="G42" s="188" t="s">
        <v>417</v>
      </c>
      <c r="H42" s="189">
        <v>2230674456</v>
      </c>
      <c r="I42" s="189">
        <v>2230674456</v>
      </c>
      <c r="J42" s="190"/>
    </row>
    <row r="43" spans="1:10" ht="9.9499999999999993" customHeight="1" x14ac:dyDescent="0.2">
      <c r="A43" s="186"/>
      <c r="B43" s="187"/>
      <c r="C43" s="187"/>
      <c r="D43" s="191"/>
      <c r="E43" s="182"/>
      <c r="F43" s="342"/>
      <c r="G43" s="342"/>
      <c r="H43" s="196"/>
      <c r="I43" s="423"/>
      <c r="J43" s="190"/>
    </row>
    <row r="44" spans="1:10" ht="9.9499999999999993" customHeight="1" x14ac:dyDescent="0.2">
      <c r="A44" s="186"/>
      <c r="B44" s="187"/>
      <c r="C44" s="187"/>
      <c r="D44" s="191"/>
      <c r="E44" s="182"/>
      <c r="F44" s="342"/>
      <c r="G44" s="342"/>
      <c r="H44" s="196"/>
      <c r="I44" s="196"/>
      <c r="J44" s="190"/>
    </row>
    <row r="45" spans="1:10" ht="14.25" customHeight="1" x14ac:dyDescent="0.2">
      <c r="A45" s="206"/>
      <c r="B45" s="822"/>
      <c r="C45" s="822"/>
      <c r="D45" s="822"/>
      <c r="E45" s="207"/>
      <c r="F45" s="208"/>
      <c r="G45" s="208"/>
      <c r="H45" s="209"/>
      <c r="I45" s="209"/>
      <c r="J45" s="210"/>
    </row>
    <row r="46" spans="1:10" ht="6" customHeight="1" x14ac:dyDescent="0.2">
      <c r="B46" s="829"/>
      <c r="C46" s="829"/>
      <c r="D46" s="829"/>
      <c r="E46" s="829"/>
      <c r="F46" s="829"/>
      <c r="G46" s="829"/>
      <c r="H46" s="829"/>
      <c r="I46" s="829"/>
      <c r="J46" s="829"/>
    </row>
    <row r="47" spans="1:10" ht="6" customHeight="1" x14ac:dyDescent="0.2">
      <c r="B47" s="211"/>
      <c r="C47" s="211"/>
      <c r="D47" s="212"/>
      <c r="E47" s="213"/>
      <c r="F47" s="212"/>
      <c r="G47" s="213"/>
      <c r="H47" s="213"/>
      <c r="I47" s="213"/>
    </row>
    <row r="48" spans="1:10" s="165" customFormat="1" ht="15" customHeight="1" x14ac:dyDescent="0.2">
      <c r="A48" s="166"/>
      <c r="B48" s="820" t="s">
        <v>78</v>
      </c>
      <c r="C48" s="820"/>
      <c r="D48" s="820"/>
      <c r="E48" s="820"/>
      <c r="F48" s="820"/>
      <c r="G48" s="820"/>
      <c r="H48" s="820"/>
      <c r="I48" s="820"/>
      <c r="J48" s="820"/>
    </row>
    <row r="49" spans="1:10" s="165" customFormat="1" ht="28.5" customHeight="1" x14ac:dyDescent="0.2">
      <c r="A49" s="166"/>
      <c r="B49" s="191"/>
      <c r="C49" s="214"/>
      <c r="D49" s="215"/>
      <c r="E49" s="215"/>
      <c r="F49" s="166"/>
      <c r="G49" s="216"/>
      <c r="H49" s="217"/>
      <c r="I49" s="217"/>
      <c r="J49" s="215"/>
    </row>
    <row r="50" spans="1:10" s="165" customFormat="1" ht="25.5" customHeight="1" x14ac:dyDescent="0.2">
      <c r="A50" s="166"/>
      <c r="B50" s="191"/>
      <c r="C50" s="727"/>
      <c r="D50" s="727"/>
      <c r="E50" s="215"/>
      <c r="F50" s="166"/>
      <c r="G50" s="726"/>
      <c r="H50" s="726"/>
      <c r="I50" s="215"/>
      <c r="J50" s="215"/>
    </row>
    <row r="51" spans="1:10" s="165" customFormat="1" ht="14.1" customHeight="1" x14ac:dyDescent="0.2">
      <c r="A51" s="166"/>
      <c r="B51" s="196"/>
      <c r="C51" s="725" t="s">
        <v>403</v>
      </c>
      <c r="D51" s="725"/>
      <c r="E51" s="215"/>
      <c r="F51" s="215"/>
      <c r="G51" s="723" t="s">
        <v>474</v>
      </c>
      <c r="H51" s="723"/>
      <c r="I51" s="723"/>
      <c r="J51" s="723"/>
    </row>
    <row r="52" spans="1:10" s="165" customFormat="1" ht="14.1" customHeight="1" x14ac:dyDescent="0.2">
      <c r="A52" s="166"/>
      <c r="B52" s="218"/>
      <c r="C52" s="723" t="s">
        <v>402</v>
      </c>
      <c r="D52" s="723"/>
      <c r="E52" s="219"/>
      <c r="F52" s="219"/>
      <c r="G52" s="723" t="s">
        <v>475</v>
      </c>
      <c r="H52" s="723"/>
      <c r="I52" s="723"/>
      <c r="J52" s="723"/>
    </row>
  </sheetData>
  <sheetProtection selectLockedCells="1"/>
  <mergeCells count="28">
    <mergeCell ref="I51:J51"/>
    <mergeCell ref="I52:J52"/>
    <mergeCell ref="B34:D34"/>
    <mergeCell ref="B40:D40"/>
    <mergeCell ref="C52:D52"/>
    <mergeCell ref="G52:H52"/>
    <mergeCell ref="B45:D45"/>
    <mergeCell ref="B46:J46"/>
    <mergeCell ref="B48:J48"/>
    <mergeCell ref="C50:D50"/>
    <mergeCell ref="G50:H50"/>
    <mergeCell ref="C51:D51"/>
    <mergeCell ref="G51:H51"/>
    <mergeCell ref="B20:J20"/>
    <mergeCell ref="B21:D21"/>
    <mergeCell ref="B23:D23"/>
    <mergeCell ref="B24:D24"/>
    <mergeCell ref="C10:H10"/>
    <mergeCell ref="C11:H11"/>
    <mergeCell ref="C12:H12"/>
    <mergeCell ref="C13:H13"/>
    <mergeCell ref="B14:C14"/>
    <mergeCell ref="D14:I14"/>
    <mergeCell ref="C15:H15"/>
    <mergeCell ref="B16:J16"/>
    <mergeCell ref="B17:J17"/>
    <mergeCell ref="B18:D18"/>
    <mergeCell ref="B19:J19"/>
  </mergeCells>
  <printOptions verticalCentered="1"/>
  <pageMargins left="0.69" right="0" top="0.68" bottom="0.59055118110236227" header="0" footer="0"/>
  <pageSetup scale="7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22</vt:i4>
      </vt:variant>
    </vt:vector>
  </HeadingPairs>
  <TitlesOfParts>
    <vt:vector size="44" baseType="lpstr">
      <vt:lpstr>Estado de Situacion Financiera</vt:lpstr>
      <vt:lpstr>Estado de Actividades</vt:lpstr>
      <vt:lpstr>Edo Variacion Hacienda Publica</vt:lpstr>
      <vt:lpstr>Edo de Cambios en la Sit Fin</vt:lpstr>
      <vt:lpstr>PT_ESF_ECSF</vt:lpstr>
      <vt:lpstr>Edo Flujo de Efectivo</vt:lpstr>
      <vt:lpstr>Edo Analitico del Activo</vt:lpstr>
      <vt:lpstr>Edo Analit Deuda y O Pasivos</vt:lpstr>
      <vt:lpstr>Informes sobre Pasivos Conting</vt:lpstr>
      <vt:lpstr>Edo Analitico Ingresos Economic</vt:lpstr>
      <vt:lpstr>Edo Analitico Ingresos</vt:lpstr>
      <vt:lpstr>Anexo Analitico de Ingresos</vt:lpstr>
      <vt:lpstr>E A Eje Presup Egresos CA</vt:lpstr>
      <vt:lpstr>COG</vt:lpstr>
      <vt:lpstr>CTG</vt:lpstr>
      <vt:lpstr>CFG</vt:lpstr>
      <vt:lpstr>End Neto</vt:lpstr>
      <vt:lpstr>Intereses de la Deuda</vt:lpstr>
      <vt:lpstr>Ind Postura Fiscal</vt:lpstr>
      <vt:lpstr>Gto Categoria Programatica</vt:lpstr>
      <vt:lpstr>Relacion Ctas Banc</vt:lpstr>
      <vt:lpstr>Anexo a Mpios</vt:lpstr>
      <vt:lpstr>'Anexo a Mpios'!Área_de_impresión</vt:lpstr>
      <vt:lpstr>'Anexo Analitico de Ingresos'!Área_de_impresión</vt:lpstr>
      <vt:lpstr>COG!Área_de_impresión</vt:lpstr>
      <vt:lpstr>'Edo Analit Deuda y O Pasivos'!Área_de_impresión</vt:lpstr>
      <vt:lpstr>'Edo Analitico del Activo'!Área_de_impresión</vt:lpstr>
      <vt:lpstr>'Edo Analitico Ingresos Economic'!Área_de_impresión</vt:lpstr>
      <vt:lpstr>'Edo de Cambios en la Sit Fin'!Área_de_impresión</vt:lpstr>
      <vt:lpstr>'Edo Flujo de Efectivo'!Área_de_impresión</vt:lpstr>
      <vt:lpstr>'Edo Variacion Hacienda Publica'!Área_de_impresión</vt:lpstr>
      <vt:lpstr>'End Neto'!Área_de_impresión</vt:lpstr>
      <vt:lpstr>'Estado de Actividades'!Área_de_impresión</vt:lpstr>
      <vt:lpstr>'Estado de Situacion Financiera'!Área_de_impresión</vt:lpstr>
      <vt:lpstr>'Gto Categoria Programatica'!Área_de_impresión</vt:lpstr>
      <vt:lpstr>'Ind Postura Fiscal'!Área_de_impresión</vt:lpstr>
      <vt:lpstr>'Informes sobre Pasivos Conting'!Área_de_impresión</vt:lpstr>
      <vt:lpstr>'Intereses de la Deuda'!Área_de_impresión</vt:lpstr>
      <vt:lpstr>'Relacion Ctas Banc'!Área_de_impresión</vt:lpstr>
      <vt:lpstr>'Anexo a Mpios'!Títulos_a_imprimir</vt:lpstr>
      <vt:lpstr>'Anexo Analitico de Ingresos'!Títulos_a_imprimir</vt:lpstr>
      <vt:lpstr>COG!Títulos_a_imprimir</vt:lpstr>
      <vt:lpstr>'E A Eje Presup Egresos CA'!Títulos_a_imprimir</vt:lpstr>
      <vt:lpstr>'Relacion Ctas Banc'!Títulos_a_imprimir</vt:lpstr>
    </vt:vector>
  </TitlesOfParts>
  <Company>Secretaria de Hacienda y Credito Publico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teresita_quezada</dc:creator>
  <cp:lastModifiedBy>conta02</cp:lastModifiedBy>
  <cp:lastPrinted>2017-01-31T16:36:03Z</cp:lastPrinted>
  <dcterms:created xsi:type="dcterms:W3CDTF">2014-01-27T16:27:43Z</dcterms:created>
  <dcterms:modified xsi:type="dcterms:W3CDTF">2017-01-31T17:01:23Z</dcterms:modified>
</cp:coreProperties>
</file>